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6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7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8.xml" ContentType="application/vnd.openxmlformats-officedocument.drawing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0335" yWindow="225" windowWidth="14400" windowHeight="12735"/>
  </bookViews>
  <sheets>
    <sheet name="Year comparison" sheetId="5" r:id="rId1"/>
    <sheet name="2012" sheetId="2" r:id="rId2"/>
    <sheet name="2013" sheetId="3" r:id="rId3"/>
    <sheet name="2014" sheetId="6" r:id="rId4"/>
    <sheet name="2015" sheetId="11" r:id="rId5"/>
    <sheet name="2013 Top Destinations" sheetId="8" r:id="rId6"/>
    <sheet name="2014 Top Destinations" sheetId="10" r:id="rId7"/>
    <sheet name="2015 Top Destinations" sheetId="13" r:id="rId8"/>
  </sheets>
  <calcPr calcId="145621"/>
</workbook>
</file>

<file path=xl/calcChain.xml><?xml version="1.0" encoding="utf-8"?>
<calcChain xmlns="http://schemas.openxmlformats.org/spreadsheetml/2006/main">
  <c r="D443" i="11" l="1"/>
  <c r="C442" i="11"/>
  <c r="C441" i="11"/>
  <c r="C440" i="11"/>
  <c r="C439" i="11"/>
  <c r="C438" i="11"/>
  <c r="C437" i="11"/>
  <c r="C436" i="11"/>
  <c r="C435" i="11"/>
  <c r="C434" i="11"/>
  <c r="C433" i="11"/>
  <c r="C432" i="11"/>
  <c r="C431" i="11"/>
  <c r="C430" i="11"/>
  <c r="D456" i="6"/>
  <c r="C455" i="6"/>
  <c r="C454" i="6"/>
  <c r="C453" i="6"/>
  <c r="C452" i="6"/>
  <c r="C451" i="6"/>
  <c r="C450" i="6"/>
  <c r="C449" i="6"/>
  <c r="C448" i="6"/>
  <c r="C447" i="6"/>
  <c r="C446" i="6"/>
  <c r="C445" i="6"/>
  <c r="C444" i="6"/>
  <c r="C443" i="6"/>
  <c r="C442" i="6"/>
  <c r="C441" i="6"/>
  <c r="C440" i="6"/>
  <c r="C439" i="6"/>
  <c r="C438" i="6"/>
  <c r="C437" i="6"/>
  <c r="C436" i="6"/>
  <c r="C435" i="6"/>
  <c r="C434" i="6"/>
  <c r="C433" i="6"/>
  <c r="B443" i="11" l="1"/>
  <c r="C443" i="11" s="1"/>
  <c r="B456" i="6"/>
  <c r="C456" i="6" s="1"/>
  <c r="C364" i="2"/>
  <c r="F146" i="13" l="1"/>
  <c r="F145" i="13"/>
  <c r="F144" i="13"/>
  <c r="F143" i="13"/>
  <c r="F142" i="13"/>
  <c r="F117" i="13"/>
  <c r="B138" i="13"/>
  <c r="C134" i="13" s="1"/>
  <c r="B111" i="13"/>
  <c r="C109" i="13" s="1"/>
  <c r="B54" i="13"/>
  <c r="C51" i="13" s="1"/>
  <c r="F33" i="13" s="1"/>
  <c r="B28" i="13"/>
  <c r="C22" i="13" s="1"/>
  <c r="Z114" i="5"/>
  <c r="Z112" i="5"/>
  <c r="Y118" i="5"/>
  <c r="Z115" i="5" s="1"/>
  <c r="B166" i="13"/>
  <c r="C165" i="13" s="1"/>
  <c r="B82" i="13"/>
  <c r="C81" i="13" s="1"/>
  <c r="F147" i="13" l="1"/>
  <c r="F148" i="13" s="1"/>
  <c r="C107" i="13"/>
  <c r="F87" i="13" s="1"/>
  <c r="C146" i="13"/>
  <c r="C50" i="13"/>
  <c r="F32" i="13" s="1"/>
  <c r="C136" i="13"/>
  <c r="C137" i="13"/>
  <c r="C135" i="13"/>
  <c r="F115" i="13" s="1"/>
  <c r="F120" i="13" s="1"/>
  <c r="F121" i="13" s="1"/>
  <c r="C153" i="13"/>
  <c r="C110" i="13"/>
  <c r="C108" i="13"/>
  <c r="F88" i="13" s="1"/>
  <c r="C143" i="13"/>
  <c r="C149" i="13"/>
  <c r="C158" i="13"/>
  <c r="C58" i="13"/>
  <c r="C145" i="13"/>
  <c r="C147" i="13"/>
  <c r="C151" i="13"/>
  <c r="C155" i="13"/>
  <c r="C162" i="13"/>
  <c r="C53" i="13"/>
  <c r="C52" i="13"/>
  <c r="C92" i="13"/>
  <c r="C126" i="13"/>
  <c r="C10" i="13"/>
  <c r="C7" i="13"/>
  <c r="C14" i="13"/>
  <c r="C122" i="13"/>
  <c r="C130" i="13"/>
  <c r="C27" i="13"/>
  <c r="C25" i="13"/>
  <c r="F5" i="13" s="1"/>
  <c r="C26" i="13"/>
  <c r="C24" i="13"/>
  <c r="F4" i="13" s="1"/>
  <c r="C18" i="13"/>
  <c r="C59" i="13"/>
  <c r="C64" i="13"/>
  <c r="C68" i="13"/>
  <c r="C72" i="13"/>
  <c r="C88" i="13"/>
  <c r="C100" i="13"/>
  <c r="F91" i="13" s="1"/>
  <c r="C115" i="13"/>
  <c r="C120" i="13"/>
  <c r="F119" i="13" s="1"/>
  <c r="C124" i="13"/>
  <c r="C128" i="13"/>
  <c r="C132" i="13"/>
  <c r="C62" i="13"/>
  <c r="F58" i="13" s="1"/>
  <c r="C66" i="13"/>
  <c r="C70" i="13"/>
  <c r="C6" i="13"/>
  <c r="F8" i="13" s="1"/>
  <c r="C8" i="13"/>
  <c r="C12" i="13"/>
  <c r="C16" i="13"/>
  <c r="C20" i="13"/>
  <c r="C116" i="13"/>
  <c r="C117" i="13"/>
  <c r="F118" i="13" s="1"/>
  <c r="C118" i="13"/>
  <c r="C119" i="13"/>
  <c r="C121" i="13"/>
  <c r="C123" i="13"/>
  <c r="C125" i="13"/>
  <c r="C127" i="13"/>
  <c r="F116" i="13" s="1"/>
  <c r="C129" i="13"/>
  <c r="C131" i="13"/>
  <c r="C133" i="13"/>
  <c r="C142" i="13"/>
  <c r="C144" i="13"/>
  <c r="C148" i="13"/>
  <c r="C150" i="13"/>
  <c r="C152" i="13"/>
  <c r="C154" i="13"/>
  <c r="C156" i="13"/>
  <c r="C160" i="13"/>
  <c r="C164" i="13"/>
  <c r="C43" i="13"/>
  <c r="C39" i="13"/>
  <c r="C47" i="13"/>
  <c r="F34" i="13" s="1"/>
  <c r="C90" i="13"/>
  <c r="C96" i="13"/>
  <c r="C104" i="13"/>
  <c r="C74" i="13"/>
  <c r="C76" i="13"/>
  <c r="C78" i="13"/>
  <c r="F61" i="13" s="1"/>
  <c r="C80" i="13"/>
  <c r="C4" i="13"/>
  <c r="C5" i="13"/>
  <c r="C9" i="13"/>
  <c r="C11" i="13"/>
  <c r="C13" i="13"/>
  <c r="F7" i="13" s="1"/>
  <c r="C15" i="13"/>
  <c r="C17" i="13"/>
  <c r="C19" i="13"/>
  <c r="F6" i="13" s="1"/>
  <c r="C21" i="13"/>
  <c r="C23" i="13"/>
  <c r="C60" i="13"/>
  <c r="C61" i="13"/>
  <c r="C63" i="13"/>
  <c r="C65" i="13"/>
  <c r="C67" i="13"/>
  <c r="C69" i="13"/>
  <c r="C71" i="13"/>
  <c r="F60" i="13" s="1"/>
  <c r="C73" i="13"/>
  <c r="F62" i="13" s="1"/>
  <c r="C75" i="13"/>
  <c r="C77" i="13"/>
  <c r="C79" i="13"/>
  <c r="F59" i="13" s="1"/>
  <c r="C87" i="13"/>
  <c r="C89" i="13"/>
  <c r="F90" i="13" s="1"/>
  <c r="C91" i="13"/>
  <c r="C94" i="13"/>
  <c r="C98" i="13"/>
  <c r="C102" i="13"/>
  <c r="F89" i="13" s="1"/>
  <c r="C106" i="13"/>
  <c r="C32" i="13"/>
  <c r="C41" i="13"/>
  <c r="C45" i="13"/>
  <c r="F36" i="13" s="1"/>
  <c r="C49" i="13"/>
  <c r="Z99" i="5"/>
  <c r="Z89" i="5"/>
  <c r="Z95" i="5"/>
  <c r="Z87" i="5"/>
  <c r="Z97" i="5"/>
  <c r="Z106" i="5"/>
  <c r="Z83" i="5"/>
  <c r="AA83" i="5" s="1"/>
  <c r="Z92" i="5"/>
  <c r="Z102" i="5"/>
  <c r="Z110" i="5"/>
  <c r="Z116" i="5"/>
  <c r="AA116" i="5" s="1"/>
  <c r="Z85" i="5"/>
  <c r="Z90" i="5"/>
  <c r="Z94" i="5"/>
  <c r="Z101" i="5"/>
  <c r="Z104" i="5"/>
  <c r="Z108" i="5"/>
  <c r="Z113" i="5"/>
  <c r="Z117" i="5"/>
  <c r="AA117" i="5" s="1"/>
  <c r="Z84" i="5"/>
  <c r="Z86" i="5"/>
  <c r="Z88" i="5"/>
  <c r="Z91" i="5"/>
  <c r="Z93" i="5"/>
  <c r="Z96" i="5"/>
  <c r="Z98" i="5"/>
  <c r="Z103" i="5"/>
  <c r="Z105" i="5"/>
  <c r="Z107" i="5"/>
  <c r="Z109" i="5"/>
  <c r="Z111" i="5"/>
  <c r="C33" i="13"/>
  <c r="C34" i="13"/>
  <c r="C35" i="13"/>
  <c r="C36" i="13"/>
  <c r="C37" i="13"/>
  <c r="C38" i="13"/>
  <c r="C40" i="13"/>
  <c r="C42" i="13"/>
  <c r="C44" i="13"/>
  <c r="C46" i="13"/>
  <c r="C48" i="13"/>
  <c r="F35" i="13" s="1"/>
  <c r="C93" i="13"/>
  <c r="C95" i="13"/>
  <c r="C97" i="13"/>
  <c r="C99" i="13"/>
  <c r="C101" i="13"/>
  <c r="C103" i="13"/>
  <c r="C105" i="13"/>
  <c r="C157" i="13"/>
  <c r="C159" i="13"/>
  <c r="C161" i="13"/>
  <c r="C163" i="13"/>
  <c r="M424" i="11"/>
  <c r="N424" i="11" s="1"/>
  <c r="D184" i="11"/>
  <c r="C105" i="11"/>
  <c r="B105" i="11"/>
  <c r="B78" i="11"/>
  <c r="C26" i="5" s="1"/>
  <c r="N391" i="11" l="1"/>
  <c r="F37" i="13"/>
  <c r="F38" i="13" s="1"/>
  <c r="F92" i="13"/>
  <c r="F93" i="13" s="1"/>
  <c r="F63" i="13"/>
  <c r="F64" i="13" s="1"/>
  <c r="F9" i="13"/>
  <c r="F10" i="13" s="1"/>
  <c r="AA101" i="5"/>
  <c r="AA86" i="5"/>
  <c r="AB83" i="5"/>
  <c r="Z118" i="5"/>
  <c r="N409" i="11"/>
  <c r="N392" i="11"/>
  <c r="O391" i="11" s="1"/>
  <c r="P391" i="11" s="1"/>
  <c r="N401" i="11"/>
  <c r="N417" i="11"/>
  <c r="N396" i="11"/>
  <c r="N405" i="11"/>
  <c r="N413" i="11"/>
  <c r="N421" i="11"/>
  <c r="N394" i="11"/>
  <c r="N399" i="11"/>
  <c r="N403" i="11"/>
  <c r="N407" i="11"/>
  <c r="N411" i="11"/>
  <c r="N415" i="11"/>
  <c r="N419" i="11"/>
  <c r="N423" i="11"/>
  <c r="O423" i="11" s="1"/>
  <c r="N393" i="11"/>
  <c r="N395" i="11"/>
  <c r="N398" i="11"/>
  <c r="N400" i="11"/>
  <c r="N402" i="11"/>
  <c r="N404" i="11"/>
  <c r="N406" i="11"/>
  <c r="N408" i="11"/>
  <c r="N410" i="11"/>
  <c r="N412" i="11"/>
  <c r="N414" i="11"/>
  <c r="N416" i="11"/>
  <c r="N418" i="11"/>
  <c r="N420" i="11"/>
  <c r="N422" i="11"/>
  <c r="AB86" i="5" l="1"/>
  <c r="AB118" i="5" s="1"/>
  <c r="AA118" i="5"/>
  <c r="O409" i="11"/>
  <c r="O394" i="11"/>
  <c r="O424" i="11" s="1"/>
  <c r="P394" i="11" l="1"/>
  <c r="P424" i="11" s="1"/>
  <c r="C27" i="11" l="1"/>
  <c r="D99" i="11" l="1"/>
  <c r="L130" i="5" l="1"/>
  <c r="J139" i="5"/>
  <c r="J71" i="5"/>
  <c r="M125" i="5" l="1"/>
  <c r="M127" i="5"/>
  <c r="M129" i="5"/>
  <c r="M124" i="5"/>
  <c r="M126" i="5"/>
  <c r="M128" i="5"/>
  <c r="M123" i="5"/>
  <c r="K138" i="5"/>
  <c r="K137" i="5"/>
  <c r="K136" i="5"/>
  <c r="J78" i="5"/>
  <c r="K76" i="5" s="1"/>
  <c r="K69" i="5"/>
  <c r="K70" i="5"/>
  <c r="K77" i="5" l="1"/>
  <c r="D95" i="11" l="1"/>
  <c r="D94" i="11" l="1"/>
  <c r="D93" i="11" l="1"/>
  <c r="D92" i="11" l="1"/>
  <c r="D91" i="11" l="1"/>
  <c r="C233" i="11" l="1"/>
  <c r="D233" i="11"/>
  <c r="D90" i="11" l="1"/>
  <c r="D102" i="11" s="1"/>
  <c r="A386" i="11"/>
  <c r="A351" i="11"/>
  <c r="A314" i="11"/>
  <c r="A277" i="11"/>
  <c r="B240" i="11"/>
  <c r="D239" i="11"/>
  <c r="C239" i="11"/>
  <c r="D238" i="11"/>
  <c r="C238" i="11"/>
  <c r="D237" i="11"/>
  <c r="C237" i="11"/>
  <c r="D236" i="11"/>
  <c r="C236" i="11"/>
  <c r="D235" i="11"/>
  <c r="C235" i="11"/>
  <c r="D234" i="11"/>
  <c r="C234" i="11"/>
  <c r="D232" i="11"/>
  <c r="C232" i="11"/>
  <c r="D231" i="11"/>
  <c r="C231" i="11"/>
  <c r="D230" i="11"/>
  <c r="C230" i="11"/>
  <c r="D229" i="11"/>
  <c r="C229" i="11"/>
  <c r="D228" i="11"/>
  <c r="C228" i="11"/>
  <c r="D227" i="11"/>
  <c r="C227" i="11"/>
  <c r="D226" i="11"/>
  <c r="C226" i="11"/>
  <c r="D225" i="11"/>
  <c r="C225" i="11"/>
  <c r="D224" i="11"/>
  <c r="C224" i="11"/>
  <c r="D223" i="11"/>
  <c r="C223" i="11"/>
  <c r="D222" i="11"/>
  <c r="C222" i="11"/>
  <c r="D221" i="11"/>
  <c r="C221" i="11"/>
  <c r="D220" i="11"/>
  <c r="C220" i="11"/>
  <c r="D219" i="11"/>
  <c r="C219" i="11"/>
  <c r="D218" i="11"/>
  <c r="C218" i="11"/>
  <c r="D217" i="11"/>
  <c r="C217" i="11"/>
  <c r="D216" i="11"/>
  <c r="C216" i="11"/>
  <c r="D215" i="11"/>
  <c r="C215" i="11"/>
  <c r="D214" i="11"/>
  <c r="C214" i="11"/>
  <c r="D213" i="11"/>
  <c r="C213" i="11"/>
  <c r="F207" i="11"/>
  <c r="G206" i="11" s="1"/>
  <c r="E196" i="11"/>
  <c r="F195" i="11" s="1"/>
  <c r="D172" i="11"/>
  <c r="D167" i="11"/>
  <c r="C102" i="11"/>
  <c r="B102" i="11"/>
  <c r="B77" i="11"/>
  <c r="C29" i="11"/>
  <c r="C28" i="11"/>
  <c r="C26" i="11"/>
  <c r="C25" i="11"/>
  <c r="C24" i="11"/>
  <c r="C23" i="11"/>
  <c r="C22" i="11"/>
  <c r="C21" i="11"/>
  <c r="C20" i="11"/>
  <c r="C19" i="11"/>
  <c r="C18" i="11"/>
  <c r="D240" i="11" l="1"/>
  <c r="B6" i="5"/>
  <c r="C276" i="11"/>
  <c r="C270" i="11"/>
  <c r="C266" i="11"/>
  <c r="C260" i="11"/>
  <c r="C256" i="11"/>
  <c r="C275" i="11"/>
  <c r="C273" i="11"/>
  <c r="C271" i="11"/>
  <c r="C269" i="11"/>
  <c r="C267" i="11"/>
  <c r="C265" i="11"/>
  <c r="C263" i="11"/>
  <c r="C261" i="11"/>
  <c r="C259" i="11"/>
  <c r="C257" i="11"/>
  <c r="C255" i="11"/>
  <c r="C253" i="11"/>
  <c r="C251" i="11"/>
  <c r="C274" i="11"/>
  <c r="C272" i="11"/>
  <c r="C268" i="11"/>
  <c r="C264" i="11"/>
  <c r="C262" i="11"/>
  <c r="C258" i="11"/>
  <c r="C254" i="11"/>
  <c r="C252" i="11"/>
  <c r="C350" i="11"/>
  <c r="C348" i="11"/>
  <c r="C346" i="11"/>
  <c r="C344" i="11"/>
  <c r="C342" i="11"/>
  <c r="C340" i="11"/>
  <c r="C338" i="11"/>
  <c r="C336" i="11"/>
  <c r="C334" i="11"/>
  <c r="C332" i="11"/>
  <c r="C330" i="11"/>
  <c r="C328" i="11"/>
  <c r="C326" i="11"/>
  <c r="C349" i="11"/>
  <c r="C347" i="11"/>
  <c r="C345" i="11"/>
  <c r="C343" i="11"/>
  <c r="C341" i="11"/>
  <c r="C339" i="11"/>
  <c r="C337" i="11"/>
  <c r="C335" i="11"/>
  <c r="C333" i="11"/>
  <c r="C331" i="11"/>
  <c r="C329" i="11"/>
  <c r="C327" i="11"/>
  <c r="C325" i="11"/>
  <c r="C313" i="11"/>
  <c r="C311" i="11"/>
  <c r="C309" i="11"/>
  <c r="C307" i="11"/>
  <c r="C305" i="11"/>
  <c r="C303" i="11"/>
  <c r="C301" i="11"/>
  <c r="C299" i="11"/>
  <c r="C297" i="11"/>
  <c r="C295" i="11"/>
  <c r="C293" i="11"/>
  <c r="C291" i="11"/>
  <c r="C289" i="11"/>
  <c r="C312" i="11"/>
  <c r="C310" i="11"/>
  <c r="C308" i="11"/>
  <c r="C306" i="11"/>
  <c r="C304" i="11"/>
  <c r="C302" i="11"/>
  <c r="C300" i="11"/>
  <c r="C298" i="11"/>
  <c r="C296" i="11"/>
  <c r="C294" i="11"/>
  <c r="C292" i="11"/>
  <c r="C290" i="11"/>
  <c r="C288" i="11"/>
  <c r="D177" i="11"/>
  <c r="F172" i="11"/>
  <c r="F154" i="11"/>
  <c r="G144" i="11" s="1"/>
  <c r="F167" i="11"/>
  <c r="C287" i="11"/>
  <c r="D187" i="11"/>
  <c r="E186" i="11" s="1"/>
  <c r="G203" i="11"/>
  <c r="C385" i="11"/>
  <c r="C379" i="11"/>
  <c r="C324" i="11"/>
  <c r="F192" i="11"/>
  <c r="G201" i="11"/>
  <c r="G205" i="11"/>
  <c r="C250" i="11"/>
  <c r="G200" i="11"/>
  <c r="G202" i="11"/>
  <c r="G204" i="11"/>
  <c r="F194" i="11"/>
  <c r="F191" i="11"/>
  <c r="F193" i="11"/>
  <c r="E170" i="11"/>
  <c r="E165" i="11"/>
  <c r="E166" i="11"/>
  <c r="E171" i="11"/>
  <c r="C240" i="11"/>
  <c r="B241" i="11"/>
  <c r="C359" i="11"/>
  <c r="C361" i="11"/>
  <c r="C363" i="11"/>
  <c r="C365" i="11"/>
  <c r="C367" i="11"/>
  <c r="C369" i="11"/>
  <c r="C371" i="11"/>
  <c r="C373" i="11"/>
  <c r="C375" i="11"/>
  <c r="C377" i="11"/>
  <c r="C380" i="11"/>
  <c r="C382" i="11"/>
  <c r="C384" i="11"/>
  <c r="C360" i="11"/>
  <c r="C362" i="11"/>
  <c r="C364" i="11"/>
  <c r="C366" i="11"/>
  <c r="C368" i="11"/>
  <c r="C370" i="11"/>
  <c r="C372" i="11"/>
  <c r="C374" i="11"/>
  <c r="C376" i="11"/>
  <c r="C378" i="11"/>
  <c r="C381" i="11"/>
  <c r="C383" i="11"/>
  <c r="C6" i="5" l="1"/>
  <c r="D6" i="5"/>
  <c r="E184" i="11"/>
  <c r="D180" i="11"/>
  <c r="E177" i="11" s="1"/>
  <c r="G148" i="11"/>
  <c r="G142" i="11"/>
  <c r="H154" i="11"/>
  <c r="G147" i="11"/>
  <c r="G151" i="11"/>
  <c r="G143" i="11"/>
  <c r="G146" i="11"/>
  <c r="G153" i="11"/>
  <c r="G149" i="11"/>
  <c r="G145" i="11"/>
  <c r="G150" i="11"/>
  <c r="G152" i="11"/>
  <c r="E185" i="11"/>
  <c r="E178" i="11"/>
  <c r="E179" i="11"/>
  <c r="C232" i="3" l="1"/>
  <c r="B75" i="10" l="1"/>
  <c r="C53" i="10" s="1"/>
  <c r="B47" i="10"/>
  <c r="C39" i="10" s="1"/>
  <c r="F32" i="10" s="1"/>
  <c r="B24" i="10"/>
  <c r="C6" i="10" s="1"/>
  <c r="F8" i="10" s="1"/>
  <c r="B153" i="10"/>
  <c r="C130" i="10" s="1"/>
  <c r="F130" i="10" s="1"/>
  <c r="B125" i="10"/>
  <c r="C107" i="10" s="1"/>
  <c r="F107" i="10" s="1"/>
  <c r="B101" i="10"/>
  <c r="C81" i="10" s="1"/>
  <c r="E107" i="10"/>
  <c r="E52" i="10"/>
  <c r="E28" i="10"/>
  <c r="B233" i="3"/>
  <c r="C43" i="10" l="1"/>
  <c r="C41" i="10"/>
  <c r="F30" i="10" s="1"/>
  <c r="C37" i="10"/>
  <c r="C35" i="10"/>
  <c r="C33" i="10"/>
  <c r="C31" i="10"/>
  <c r="C29" i="10"/>
  <c r="C46" i="10"/>
  <c r="C44" i="10"/>
  <c r="F28" i="10" s="1"/>
  <c r="C42" i="10"/>
  <c r="F31" i="10" s="1"/>
  <c r="C40" i="10"/>
  <c r="C38" i="10"/>
  <c r="C36" i="10"/>
  <c r="C34" i="10"/>
  <c r="C32" i="10"/>
  <c r="C30" i="10"/>
  <c r="C74" i="10"/>
  <c r="C72" i="10"/>
  <c r="F54" i="10" s="1"/>
  <c r="C70" i="10"/>
  <c r="C68" i="10"/>
  <c r="C66" i="10"/>
  <c r="C64" i="10"/>
  <c r="C62" i="10"/>
  <c r="C60" i="10"/>
  <c r="C58" i="10"/>
  <c r="C56" i="10"/>
  <c r="C54" i="10"/>
  <c r="C52" i="10"/>
  <c r="C45" i="10"/>
  <c r="F29" i="10" s="1"/>
  <c r="C73" i="10"/>
  <c r="C71" i="10"/>
  <c r="F52" i="10" s="1"/>
  <c r="C69" i="10"/>
  <c r="C67" i="10"/>
  <c r="C65" i="10"/>
  <c r="C63" i="10"/>
  <c r="F53" i="10" s="1"/>
  <c r="C61" i="10"/>
  <c r="C59" i="10"/>
  <c r="C57" i="10"/>
  <c r="C55" i="10"/>
  <c r="F51" i="10" s="1"/>
  <c r="C51" i="10"/>
  <c r="C28" i="10"/>
  <c r="F33" i="10" s="1"/>
  <c r="C100" i="10"/>
  <c r="C98" i="10"/>
  <c r="F80" i="10" s="1"/>
  <c r="C96" i="10"/>
  <c r="C94" i="10"/>
  <c r="C92" i="10"/>
  <c r="C90" i="10"/>
  <c r="C88" i="10"/>
  <c r="C86" i="10"/>
  <c r="C84" i="10"/>
  <c r="C82" i="10"/>
  <c r="F83" i="10" s="1"/>
  <c r="C124" i="10"/>
  <c r="C122" i="10"/>
  <c r="F108" i="10" s="1"/>
  <c r="C120" i="10"/>
  <c r="C118" i="10"/>
  <c r="C116" i="10"/>
  <c r="C114" i="10"/>
  <c r="C112" i="10"/>
  <c r="C110" i="10"/>
  <c r="F106" i="10" s="1"/>
  <c r="C108" i="10"/>
  <c r="C106" i="10"/>
  <c r="C129" i="10"/>
  <c r="C151" i="10"/>
  <c r="C149" i="10"/>
  <c r="F133" i="10" s="1"/>
  <c r="C147" i="10"/>
  <c r="C145" i="10"/>
  <c r="C143" i="10"/>
  <c r="C141" i="10"/>
  <c r="C139" i="10"/>
  <c r="C137" i="10"/>
  <c r="F132" i="10" s="1"/>
  <c r="C135" i="10"/>
  <c r="C133" i="10"/>
  <c r="C131" i="10"/>
  <c r="C23" i="10"/>
  <c r="F5" i="10" s="1"/>
  <c r="C21" i="10"/>
  <c r="C19" i="10"/>
  <c r="C17" i="10"/>
  <c r="F6" i="10" s="1"/>
  <c r="C15" i="10"/>
  <c r="C13" i="10"/>
  <c r="C11" i="10"/>
  <c r="C9" i="10"/>
  <c r="C7" i="10"/>
  <c r="F9" i="10" s="1"/>
  <c r="C5" i="10"/>
  <c r="C80" i="10"/>
  <c r="C99" i="10"/>
  <c r="F81" i="10" s="1"/>
  <c r="C97" i="10"/>
  <c r="C95" i="10"/>
  <c r="C93" i="10"/>
  <c r="F82" i="10" s="1"/>
  <c r="C91" i="10"/>
  <c r="C89" i="10"/>
  <c r="C87" i="10"/>
  <c r="C85" i="10"/>
  <c r="C83" i="10"/>
  <c r="C105" i="10"/>
  <c r="C123" i="10"/>
  <c r="F105" i="10" s="1"/>
  <c r="C121" i="10"/>
  <c r="C119" i="10"/>
  <c r="C117" i="10"/>
  <c r="C115" i="10"/>
  <c r="C113" i="10"/>
  <c r="C111" i="10"/>
  <c r="C109" i="10"/>
  <c r="C152" i="10"/>
  <c r="C150" i="10"/>
  <c r="F129" i="10" s="1"/>
  <c r="C148" i="10"/>
  <c r="C146" i="10"/>
  <c r="C144" i="10"/>
  <c r="F131" i="10" s="1"/>
  <c r="C142" i="10"/>
  <c r="C140" i="10"/>
  <c r="C138" i="10"/>
  <c r="C136" i="10"/>
  <c r="C134" i="10"/>
  <c r="C132" i="10"/>
  <c r="C4" i="10"/>
  <c r="C22" i="10"/>
  <c r="F4" i="10" s="1"/>
  <c r="C20" i="10"/>
  <c r="C18" i="10"/>
  <c r="C16" i="10"/>
  <c r="C14" i="10"/>
  <c r="C12" i="10"/>
  <c r="F7" i="10" s="1"/>
  <c r="C10" i="10"/>
  <c r="C8" i="10"/>
  <c r="H137" i="5"/>
  <c r="H138" i="5"/>
  <c r="J124" i="5"/>
  <c r="J125" i="5"/>
  <c r="J126" i="5"/>
  <c r="J127" i="5"/>
  <c r="J128" i="5"/>
  <c r="J129" i="5"/>
  <c r="J123" i="5"/>
  <c r="F55" i="10" l="1"/>
  <c r="F84" i="10"/>
  <c r="F10" i="10"/>
  <c r="F109" i="10"/>
  <c r="F134" i="10"/>
  <c r="J130" i="5"/>
  <c r="K128" i="5" s="1"/>
  <c r="K129" i="5" l="1"/>
  <c r="K127" i="5"/>
  <c r="K123" i="5"/>
  <c r="K126" i="5"/>
  <c r="K125" i="5"/>
  <c r="K124" i="5"/>
  <c r="U81" i="5" l="1"/>
  <c r="U82" i="5"/>
  <c r="V82" i="5"/>
  <c r="W82" i="5"/>
  <c r="X82" i="5"/>
  <c r="U83" i="5"/>
  <c r="U84" i="5"/>
  <c r="W84" i="5"/>
  <c r="X84" i="5"/>
  <c r="U85" i="5"/>
  <c r="W85" i="5"/>
  <c r="X85" i="5"/>
  <c r="U86" i="5"/>
  <c r="U87" i="5"/>
  <c r="W87" i="5"/>
  <c r="X87" i="5"/>
  <c r="U88" i="5"/>
  <c r="W88" i="5"/>
  <c r="X88" i="5"/>
  <c r="U90" i="5"/>
  <c r="W90" i="5"/>
  <c r="X90" i="5"/>
  <c r="U91" i="5"/>
  <c r="W91" i="5"/>
  <c r="X91" i="5"/>
  <c r="U92" i="5"/>
  <c r="W92" i="5"/>
  <c r="X92" i="5"/>
  <c r="U93" i="5"/>
  <c r="W93" i="5"/>
  <c r="X93" i="5"/>
  <c r="U94" i="5"/>
  <c r="W94" i="5"/>
  <c r="X94" i="5"/>
  <c r="U95" i="5"/>
  <c r="W95" i="5"/>
  <c r="X95" i="5"/>
  <c r="U96" i="5"/>
  <c r="W96" i="5"/>
  <c r="X96" i="5"/>
  <c r="U97" i="5"/>
  <c r="W97" i="5"/>
  <c r="X97" i="5"/>
  <c r="U98" i="5"/>
  <c r="W98" i="5"/>
  <c r="X98" i="5"/>
  <c r="U99" i="5"/>
  <c r="W99" i="5"/>
  <c r="X99" i="5"/>
  <c r="U100" i="5"/>
  <c r="W100" i="5"/>
  <c r="X100" i="5"/>
  <c r="U101" i="5"/>
  <c r="X101" i="5"/>
  <c r="U102" i="5"/>
  <c r="W102" i="5"/>
  <c r="X102" i="5"/>
  <c r="U103" i="5"/>
  <c r="W103" i="5"/>
  <c r="X103" i="5"/>
  <c r="U104" i="5"/>
  <c r="W104" i="5"/>
  <c r="X104" i="5"/>
  <c r="U105" i="5"/>
  <c r="W105" i="5"/>
  <c r="X105" i="5"/>
  <c r="U106" i="5"/>
  <c r="W106" i="5"/>
  <c r="X106" i="5"/>
  <c r="U107" i="5"/>
  <c r="W107" i="5"/>
  <c r="X107" i="5"/>
  <c r="U108" i="5"/>
  <c r="W108" i="5"/>
  <c r="X108" i="5"/>
  <c r="U109" i="5"/>
  <c r="W109" i="5"/>
  <c r="X109" i="5"/>
  <c r="U110" i="5"/>
  <c r="W110" i="5"/>
  <c r="X110" i="5"/>
  <c r="U111" i="5"/>
  <c r="W111" i="5"/>
  <c r="X111" i="5"/>
  <c r="U112" i="5"/>
  <c r="W112" i="5"/>
  <c r="X112" i="5"/>
  <c r="U113" i="5"/>
  <c r="W113" i="5"/>
  <c r="X113" i="5"/>
  <c r="U115" i="5"/>
  <c r="W115" i="5"/>
  <c r="X115" i="5"/>
  <c r="U116" i="5"/>
  <c r="X116" i="5"/>
  <c r="U117" i="5"/>
  <c r="W117" i="5"/>
  <c r="X117" i="5"/>
  <c r="H77" i="5"/>
  <c r="H76" i="5"/>
  <c r="H70" i="5"/>
  <c r="H69" i="5"/>
  <c r="H78" i="5" l="1"/>
  <c r="I77" i="5" s="1"/>
  <c r="H71" i="5"/>
  <c r="I70" i="5" s="1"/>
  <c r="D101" i="6"/>
  <c r="I76" i="5" l="1"/>
  <c r="I69" i="5"/>
  <c r="D100" i="6"/>
  <c r="D99" i="6" l="1"/>
  <c r="D184" i="6" l="1"/>
  <c r="D97" i="6"/>
  <c r="D98" i="6"/>
  <c r="D165" i="2" l="1"/>
  <c r="D168" i="2" s="1"/>
  <c r="E166" i="2" l="1"/>
  <c r="E167" i="2"/>
  <c r="E165" i="2"/>
  <c r="M429" i="6"/>
  <c r="N429" i="6" l="1"/>
  <c r="V118" i="5" s="1"/>
  <c r="U118" i="5"/>
  <c r="N397" i="6"/>
  <c r="V84" i="5" s="1"/>
  <c r="N405" i="6"/>
  <c r="V93" i="5" s="1"/>
  <c r="N413" i="6"/>
  <c r="V101" i="5" s="1"/>
  <c r="N396" i="6"/>
  <c r="V83" i="5" s="1"/>
  <c r="N401" i="6"/>
  <c r="V88" i="5" s="1"/>
  <c r="N409" i="6"/>
  <c r="V97" i="5" s="1"/>
  <c r="N418" i="6"/>
  <c r="V106" i="5" s="1"/>
  <c r="N399" i="6"/>
  <c r="V86" i="5" s="1"/>
  <c r="N403" i="6"/>
  <c r="V91" i="5" s="1"/>
  <c r="N407" i="6"/>
  <c r="V95" i="5" s="1"/>
  <c r="N411" i="6"/>
  <c r="V99" i="5" s="1"/>
  <c r="N415" i="6"/>
  <c r="V103" i="5" s="1"/>
  <c r="N422" i="6"/>
  <c r="V110" i="5" s="1"/>
  <c r="N398" i="6"/>
  <c r="V85" i="5" s="1"/>
  <c r="N400" i="6"/>
  <c r="V87" i="5" s="1"/>
  <c r="N402" i="6"/>
  <c r="V90" i="5" s="1"/>
  <c r="N404" i="6"/>
  <c r="V92" i="5" s="1"/>
  <c r="N406" i="6"/>
  <c r="V94" i="5" s="1"/>
  <c r="N408" i="6"/>
  <c r="V96" i="5" s="1"/>
  <c r="N410" i="6"/>
  <c r="V98" i="5" s="1"/>
  <c r="N412" i="6"/>
  <c r="V100" i="5" s="1"/>
  <c r="N414" i="6"/>
  <c r="V102" i="5" s="1"/>
  <c r="N416" i="6"/>
  <c r="V104" i="5" s="1"/>
  <c r="N420" i="6"/>
  <c r="V108" i="5" s="1"/>
  <c r="N424" i="6"/>
  <c r="V112" i="5" s="1"/>
  <c r="N417" i="6"/>
  <c r="V105" i="5" s="1"/>
  <c r="N419" i="6"/>
  <c r="V107" i="5" s="1"/>
  <c r="N421" i="6"/>
  <c r="V109" i="5" s="1"/>
  <c r="N423" i="6"/>
  <c r="V111" i="5" s="1"/>
  <c r="N426" i="6"/>
  <c r="V115" i="5" s="1"/>
  <c r="N425" i="6"/>
  <c r="V113" i="5" s="1"/>
  <c r="N427" i="6"/>
  <c r="N428" i="6"/>
  <c r="V117" i="5" s="1"/>
  <c r="O427" i="6" l="1"/>
  <c r="W116" i="5" s="1"/>
  <c r="V116" i="5"/>
  <c r="O396" i="6"/>
  <c r="O399" i="6"/>
  <c r="W86" i="5" s="1"/>
  <c r="O413" i="6"/>
  <c r="W101" i="5" s="1"/>
  <c r="P396" i="6" l="1"/>
  <c r="X83" i="5" s="1"/>
  <c r="W83" i="5"/>
  <c r="O429" i="6"/>
  <c r="W118" i="5" s="1"/>
  <c r="P399" i="6"/>
  <c r="P429" i="6" l="1"/>
  <c r="X118" i="5" s="1"/>
  <c r="X86" i="5"/>
  <c r="D96" i="6"/>
  <c r="D95" i="6" l="1"/>
  <c r="D187" i="6" l="1"/>
  <c r="E184" i="6" s="1"/>
  <c r="E186" i="6" l="1"/>
  <c r="E185" i="6"/>
  <c r="H453" i="3" l="1"/>
  <c r="H452" i="3"/>
  <c r="D94" i="6" l="1"/>
  <c r="C237" i="6" l="1"/>
  <c r="D237" i="6"/>
  <c r="D93" i="6"/>
  <c r="D92" i="6" l="1"/>
  <c r="C109" i="8" l="1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0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88" i="8"/>
  <c r="C72" i="8"/>
  <c r="C73" i="8"/>
  <c r="C74" i="8"/>
  <c r="C75" i="8"/>
  <c r="C76" i="8"/>
  <c r="C77" i="8"/>
  <c r="C78" i="8"/>
  <c r="C79" i="8"/>
  <c r="C80" i="8"/>
  <c r="C81" i="8"/>
  <c r="C82" i="8"/>
  <c r="C83" i="8"/>
  <c r="C71" i="8"/>
  <c r="F21" i="8"/>
  <c r="D447" i="3" l="1"/>
  <c r="C446" i="3"/>
  <c r="C445" i="3"/>
  <c r="B444" i="3"/>
  <c r="C444" i="3" s="1"/>
  <c r="C443" i="3"/>
  <c r="C442" i="3"/>
  <c r="C441" i="3"/>
  <c r="C440" i="3"/>
  <c r="C439" i="3"/>
  <c r="C438" i="3"/>
  <c r="C437" i="3"/>
  <c r="C436" i="3"/>
  <c r="C435" i="3"/>
  <c r="C434" i="3"/>
  <c r="B433" i="3"/>
  <c r="C432" i="3"/>
  <c r="C431" i="3"/>
  <c r="C430" i="3"/>
  <c r="C429" i="3"/>
  <c r="C428" i="3"/>
  <c r="C427" i="3"/>
  <c r="C426" i="3"/>
  <c r="C425" i="3"/>
  <c r="C424" i="3"/>
  <c r="C423" i="3"/>
  <c r="C422" i="3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B447" i="3" l="1"/>
  <c r="C447" i="3" s="1"/>
  <c r="C433" i="3"/>
  <c r="D91" i="6"/>
  <c r="D90" i="6" l="1"/>
  <c r="F113" i="8" l="1"/>
  <c r="F112" i="8"/>
  <c r="E112" i="8"/>
  <c r="E111" i="8"/>
  <c r="E110" i="8"/>
  <c r="E109" i="8"/>
  <c r="E108" i="8"/>
  <c r="E91" i="8"/>
  <c r="E90" i="8"/>
  <c r="E89" i="8"/>
  <c r="B126" i="8"/>
  <c r="B104" i="8"/>
  <c r="E88" i="8"/>
  <c r="B84" i="8"/>
  <c r="E73" i="8"/>
  <c r="E72" i="8"/>
  <c r="E74" i="8"/>
  <c r="E71" i="8"/>
  <c r="E46" i="8" l="1"/>
  <c r="E45" i="8"/>
  <c r="E44" i="8"/>
  <c r="E43" i="8"/>
  <c r="E24" i="8"/>
  <c r="E23" i="8"/>
  <c r="E22" i="8"/>
  <c r="E21" i="8"/>
  <c r="E7" i="8"/>
  <c r="E6" i="8"/>
  <c r="E5" i="8"/>
  <c r="E4" i="8"/>
  <c r="B66" i="8"/>
  <c r="C44" i="8" s="1"/>
  <c r="B39" i="8"/>
  <c r="C25" i="8" s="1"/>
  <c r="B17" i="8"/>
  <c r="C7" i="8" s="1"/>
  <c r="F178" i="3"/>
  <c r="F181" i="3" s="1"/>
  <c r="C15" i="8" l="1"/>
  <c r="C11" i="8"/>
  <c r="C37" i="8"/>
  <c r="C33" i="8"/>
  <c r="F23" i="8" s="1"/>
  <c r="C29" i="8"/>
  <c r="C4" i="8"/>
  <c r="F7" i="8" s="1"/>
  <c r="C13" i="8"/>
  <c r="C9" i="8"/>
  <c r="C5" i="8"/>
  <c r="C21" i="8"/>
  <c r="C35" i="8"/>
  <c r="C31" i="8"/>
  <c r="C27" i="8"/>
  <c r="C23" i="8"/>
  <c r="F73" i="8"/>
  <c r="F71" i="8"/>
  <c r="F72" i="8"/>
  <c r="F74" i="8"/>
  <c r="C16" i="8"/>
  <c r="F4" i="8" s="1"/>
  <c r="C14" i="8"/>
  <c r="C12" i="8"/>
  <c r="F6" i="8" s="1"/>
  <c r="C10" i="8"/>
  <c r="F5" i="8" s="1"/>
  <c r="C8" i="8"/>
  <c r="C6" i="8"/>
  <c r="F88" i="8"/>
  <c r="F90" i="8"/>
  <c r="F89" i="8"/>
  <c r="F91" i="8"/>
  <c r="C38" i="8"/>
  <c r="C36" i="8"/>
  <c r="F22" i="8" s="1"/>
  <c r="C34" i="8"/>
  <c r="F24" i="8" s="1"/>
  <c r="C32" i="8"/>
  <c r="C30" i="8"/>
  <c r="C28" i="8"/>
  <c r="C26" i="8"/>
  <c r="C24" i="8"/>
  <c r="C22" i="8"/>
  <c r="C43" i="8"/>
  <c r="C64" i="8"/>
  <c r="C62" i="8"/>
  <c r="F45" i="8" s="1"/>
  <c r="C60" i="8"/>
  <c r="C58" i="8"/>
  <c r="C56" i="8"/>
  <c r="C54" i="8"/>
  <c r="F46" i="8" s="1"/>
  <c r="C52" i="8"/>
  <c r="C50" i="8"/>
  <c r="C48" i="8"/>
  <c r="C46" i="8"/>
  <c r="F43" i="8" s="1"/>
  <c r="F108" i="8"/>
  <c r="F111" i="8"/>
  <c r="F109" i="8"/>
  <c r="F110" i="8"/>
  <c r="C65" i="8"/>
  <c r="C63" i="8"/>
  <c r="F44" i="8" s="1"/>
  <c r="C61" i="8"/>
  <c r="C59" i="8"/>
  <c r="C57" i="8"/>
  <c r="C55" i="8"/>
  <c r="C53" i="8"/>
  <c r="C51" i="8"/>
  <c r="C49" i="8"/>
  <c r="C47" i="8"/>
  <c r="C45" i="8"/>
  <c r="G179" i="3"/>
  <c r="G180" i="3"/>
  <c r="G178" i="3"/>
  <c r="F139" i="5"/>
  <c r="G136" i="5" s="1"/>
  <c r="D139" i="5"/>
  <c r="H130" i="5"/>
  <c r="I124" i="5" s="1"/>
  <c r="F130" i="5"/>
  <c r="G124" i="5" s="1"/>
  <c r="F92" i="8" l="1"/>
  <c r="F8" i="8"/>
  <c r="F75" i="8"/>
  <c r="F25" i="8"/>
  <c r="F47" i="8"/>
  <c r="G137" i="5"/>
  <c r="G138" i="5"/>
  <c r="E137" i="5"/>
  <c r="E138" i="5"/>
  <c r="E136" i="5"/>
  <c r="I129" i="5"/>
  <c r="I127" i="5"/>
  <c r="I125" i="5"/>
  <c r="I123" i="5"/>
  <c r="I128" i="5"/>
  <c r="I126" i="5"/>
  <c r="G127" i="5"/>
  <c r="G125" i="5"/>
  <c r="G129" i="5"/>
  <c r="G123" i="5"/>
  <c r="G128" i="5"/>
  <c r="G126" i="5"/>
  <c r="M118" i="5"/>
  <c r="Q118" i="5"/>
  <c r="F78" i="5"/>
  <c r="G77" i="5" s="1"/>
  <c r="D78" i="5"/>
  <c r="E76" i="5" s="1"/>
  <c r="F71" i="5"/>
  <c r="G70" i="5" s="1"/>
  <c r="D71" i="5"/>
  <c r="E70" i="5" s="1"/>
  <c r="R99" i="5" l="1"/>
  <c r="R100" i="5"/>
  <c r="R89" i="5"/>
  <c r="R95" i="5"/>
  <c r="N106" i="5"/>
  <c r="N115" i="5"/>
  <c r="N94" i="5"/>
  <c r="N96" i="5"/>
  <c r="N111" i="5"/>
  <c r="N89" i="5"/>
  <c r="R88" i="5"/>
  <c r="R111" i="5"/>
  <c r="G76" i="5"/>
  <c r="R83" i="5"/>
  <c r="R85" i="5"/>
  <c r="R116" i="5"/>
  <c r="S116" i="5" s="1"/>
  <c r="R113" i="5"/>
  <c r="R109" i="5"/>
  <c r="R107" i="5"/>
  <c r="R105" i="5"/>
  <c r="R103" i="5"/>
  <c r="R101" i="5"/>
  <c r="R97" i="5"/>
  <c r="R94" i="5"/>
  <c r="R92" i="5"/>
  <c r="R90" i="5"/>
  <c r="R87" i="5"/>
  <c r="N112" i="5"/>
  <c r="N98" i="5"/>
  <c r="R84" i="5"/>
  <c r="R86" i="5"/>
  <c r="R117" i="5"/>
  <c r="S117" i="5" s="1"/>
  <c r="R115" i="5"/>
  <c r="R110" i="5"/>
  <c r="R108" i="5"/>
  <c r="R106" i="5"/>
  <c r="R104" i="5"/>
  <c r="R102" i="5"/>
  <c r="R98" i="5"/>
  <c r="R96" i="5"/>
  <c r="R93" i="5"/>
  <c r="R91" i="5"/>
  <c r="N110" i="5"/>
  <c r="N113" i="5"/>
  <c r="N105" i="5"/>
  <c r="N109" i="5"/>
  <c r="N95" i="5"/>
  <c r="N103" i="5"/>
  <c r="N85" i="5"/>
  <c r="N87" i="5"/>
  <c r="N107" i="5"/>
  <c r="N97" i="5"/>
  <c r="N92" i="5"/>
  <c r="N90" i="5"/>
  <c r="N86" i="5"/>
  <c r="N84" i="5"/>
  <c r="N116" i="5"/>
  <c r="O116" i="5" s="1"/>
  <c r="N102" i="5"/>
  <c r="N100" i="5"/>
  <c r="N83" i="5"/>
  <c r="N108" i="5"/>
  <c r="N104" i="5"/>
  <c r="N101" i="5"/>
  <c r="N99" i="5"/>
  <c r="N93" i="5"/>
  <c r="N91" i="5"/>
  <c r="N88" i="5"/>
  <c r="G69" i="5"/>
  <c r="E77" i="5"/>
  <c r="E69" i="5"/>
  <c r="O359" i="2"/>
  <c r="P357" i="2" s="1"/>
  <c r="A322" i="2"/>
  <c r="C304" i="2" s="1"/>
  <c r="C85" i="2"/>
  <c r="D85" i="2"/>
  <c r="B85" i="2"/>
  <c r="C103" i="3"/>
  <c r="B103" i="3"/>
  <c r="B77" i="6"/>
  <c r="B77" i="3"/>
  <c r="B24" i="5" s="1"/>
  <c r="B63" i="2"/>
  <c r="B23" i="5" s="1"/>
  <c r="A385" i="6"/>
  <c r="A347" i="6"/>
  <c r="C383" i="6" s="1"/>
  <c r="A311" i="6"/>
  <c r="C309" i="6" s="1"/>
  <c r="A275" i="6"/>
  <c r="B239" i="6"/>
  <c r="D238" i="6"/>
  <c r="C238" i="6"/>
  <c r="D236" i="6"/>
  <c r="C236" i="6"/>
  <c r="D235" i="6"/>
  <c r="C235" i="6"/>
  <c r="D234" i="6"/>
  <c r="C234" i="6"/>
  <c r="D233" i="6"/>
  <c r="C233" i="6"/>
  <c r="D232" i="6"/>
  <c r="C232" i="6"/>
  <c r="D231" i="6"/>
  <c r="C231" i="6"/>
  <c r="D230" i="6"/>
  <c r="C230" i="6"/>
  <c r="D229" i="6"/>
  <c r="C229" i="6"/>
  <c r="D228" i="6"/>
  <c r="C228" i="6"/>
  <c r="D227" i="6"/>
  <c r="C227" i="6"/>
  <c r="D226" i="6"/>
  <c r="C226" i="6"/>
  <c r="D225" i="6"/>
  <c r="C225" i="6"/>
  <c r="D224" i="6"/>
  <c r="C224" i="6"/>
  <c r="D223" i="6"/>
  <c r="C223" i="6"/>
  <c r="D222" i="6"/>
  <c r="C222" i="6"/>
  <c r="D221" i="6"/>
  <c r="C221" i="6"/>
  <c r="D220" i="6"/>
  <c r="C220" i="6"/>
  <c r="D219" i="6"/>
  <c r="C219" i="6"/>
  <c r="D218" i="6"/>
  <c r="C218" i="6"/>
  <c r="D217" i="6"/>
  <c r="C217" i="6"/>
  <c r="D216" i="6"/>
  <c r="C216" i="6"/>
  <c r="D215" i="6"/>
  <c r="C215" i="6"/>
  <c r="D214" i="6"/>
  <c r="C214" i="6"/>
  <c r="D213" i="6"/>
  <c r="C213" i="6"/>
  <c r="F207" i="6"/>
  <c r="G206" i="6" s="1"/>
  <c r="E196" i="6"/>
  <c r="F195" i="6" s="1"/>
  <c r="D172" i="6"/>
  <c r="D177" i="6" s="1"/>
  <c r="D167" i="6"/>
  <c r="F167" i="6" s="1"/>
  <c r="F154" i="6"/>
  <c r="G153" i="6" s="1"/>
  <c r="C102" i="6"/>
  <c r="C45" i="5" s="1"/>
  <c r="B102" i="6"/>
  <c r="B45" i="5" s="1"/>
  <c r="D102" i="6"/>
  <c r="D45" i="5" s="1"/>
  <c r="B78" i="6"/>
  <c r="C25" i="5" s="1"/>
  <c r="C29" i="6"/>
  <c r="C28" i="6"/>
  <c r="C27" i="6"/>
  <c r="C26" i="6"/>
  <c r="C25" i="6"/>
  <c r="C24" i="6"/>
  <c r="C23" i="6"/>
  <c r="C22" i="6"/>
  <c r="C20" i="6"/>
  <c r="C19" i="6"/>
  <c r="C18" i="6"/>
  <c r="C21" i="6"/>
  <c r="B207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186" i="2"/>
  <c r="B206" i="2"/>
  <c r="B3" i="5" s="1"/>
  <c r="B64" i="2"/>
  <c r="C23" i="5" s="1"/>
  <c r="B78" i="3"/>
  <c r="C24" i="5" s="1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D239" i="6" l="1"/>
  <c r="B5" i="5"/>
  <c r="C239" i="6"/>
  <c r="B240" i="6"/>
  <c r="H136" i="5"/>
  <c r="S101" i="5"/>
  <c r="S86" i="5"/>
  <c r="S83" i="5"/>
  <c r="T83" i="5" s="1"/>
  <c r="R118" i="5"/>
  <c r="C274" i="6"/>
  <c r="C273" i="6"/>
  <c r="C382" i="6"/>
  <c r="C345" i="6"/>
  <c r="C310" i="6"/>
  <c r="C308" i="6"/>
  <c r="C326" i="6"/>
  <c r="C334" i="6"/>
  <c r="C322" i="6"/>
  <c r="C330" i="6"/>
  <c r="C338" i="6"/>
  <c r="C324" i="6"/>
  <c r="C328" i="6"/>
  <c r="C332" i="6"/>
  <c r="C336" i="6"/>
  <c r="C340" i="6"/>
  <c r="C342" i="6"/>
  <c r="C344" i="6"/>
  <c r="C292" i="6"/>
  <c r="C286" i="6"/>
  <c r="C300" i="6"/>
  <c r="C288" i="6"/>
  <c r="C296" i="6"/>
  <c r="C304" i="6"/>
  <c r="C290" i="6"/>
  <c r="C294" i="6"/>
  <c r="C298" i="6"/>
  <c r="C302" i="6"/>
  <c r="C306" i="6"/>
  <c r="C258" i="6"/>
  <c r="C250" i="6"/>
  <c r="C266" i="6"/>
  <c r="C254" i="6"/>
  <c r="C262" i="6"/>
  <c r="C270" i="6"/>
  <c r="C252" i="6"/>
  <c r="C256" i="6"/>
  <c r="C260" i="6"/>
  <c r="C264" i="6"/>
  <c r="C268" i="6"/>
  <c r="C272" i="6"/>
  <c r="G201" i="6"/>
  <c r="G203" i="6"/>
  <c r="G205" i="6"/>
  <c r="F192" i="6"/>
  <c r="F194" i="6"/>
  <c r="E170" i="6"/>
  <c r="E165" i="6"/>
  <c r="G146" i="6"/>
  <c r="G142" i="6"/>
  <c r="G150" i="6"/>
  <c r="N118" i="5"/>
  <c r="O83" i="5"/>
  <c r="O101" i="5"/>
  <c r="O86" i="5"/>
  <c r="P355" i="2"/>
  <c r="P356" i="2"/>
  <c r="P351" i="2"/>
  <c r="P354" i="2"/>
  <c r="P342" i="2"/>
  <c r="P349" i="2"/>
  <c r="P333" i="2"/>
  <c r="P336" i="2"/>
  <c r="P358" i="2"/>
  <c r="Q358" i="2" s="1"/>
  <c r="P348" i="2"/>
  <c r="P344" i="2"/>
  <c r="P352" i="2"/>
  <c r="P346" i="2"/>
  <c r="P341" i="2"/>
  <c r="C321" i="2"/>
  <c r="C319" i="2"/>
  <c r="C317" i="2"/>
  <c r="C315" i="2"/>
  <c r="C313" i="2"/>
  <c r="C311" i="2"/>
  <c r="C309" i="2"/>
  <c r="C307" i="2"/>
  <c r="C305" i="2"/>
  <c r="C303" i="2"/>
  <c r="P339" i="2"/>
  <c r="P337" i="2"/>
  <c r="P334" i="2"/>
  <c r="C302" i="2"/>
  <c r="C320" i="2"/>
  <c r="C318" i="2"/>
  <c r="C316" i="2"/>
  <c r="C314" i="2"/>
  <c r="C312" i="2"/>
  <c r="C310" i="2"/>
  <c r="C308" i="2"/>
  <c r="C306" i="2"/>
  <c r="P353" i="2"/>
  <c r="P350" i="2"/>
  <c r="P347" i="2"/>
  <c r="P345" i="2"/>
  <c r="P343" i="2"/>
  <c r="P340" i="2"/>
  <c r="P338" i="2"/>
  <c r="P335" i="2"/>
  <c r="D207" i="2"/>
  <c r="C3" i="5"/>
  <c r="D3" i="5"/>
  <c r="C321" i="6"/>
  <c r="C323" i="6"/>
  <c r="C325" i="6"/>
  <c r="C327" i="6"/>
  <c r="C329" i="6"/>
  <c r="C331" i="6"/>
  <c r="C333" i="6"/>
  <c r="C335" i="6"/>
  <c r="C337" i="6"/>
  <c r="C339" i="6"/>
  <c r="C341" i="6"/>
  <c r="C343" i="6"/>
  <c r="C346" i="6"/>
  <c r="C359" i="6"/>
  <c r="C363" i="6"/>
  <c r="C367" i="6"/>
  <c r="C371" i="6"/>
  <c r="C375" i="6"/>
  <c r="C379" i="6"/>
  <c r="C384" i="6"/>
  <c r="C361" i="6"/>
  <c r="C365" i="6"/>
  <c r="C369" i="6"/>
  <c r="C373" i="6"/>
  <c r="C377" i="6"/>
  <c r="C381" i="6"/>
  <c r="C285" i="6"/>
  <c r="C287" i="6"/>
  <c r="C289" i="6"/>
  <c r="C291" i="6"/>
  <c r="C293" i="6"/>
  <c r="C295" i="6"/>
  <c r="C297" i="6"/>
  <c r="C299" i="6"/>
  <c r="C301" i="6"/>
  <c r="C303" i="6"/>
  <c r="C305" i="6"/>
  <c r="C307" i="6"/>
  <c r="C249" i="6"/>
  <c r="C251" i="6"/>
  <c r="C253" i="6"/>
  <c r="C255" i="6"/>
  <c r="C257" i="6"/>
  <c r="C259" i="6"/>
  <c r="C261" i="6"/>
  <c r="C263" i="6"/>
  <c r="C265" i="6"/>
  <c r="C267" i="6"/>
  <c r="C269" i="6"/>
  <c r="C271" i="6"/>
  <c r="G200" i="6"/>
  <c r="G202" i="6"/>
  <c r="G204" i="6"/>
  <c r="F191" i="6"/>
  <c r="F193" i="6"/>
  <c r="E171" i="6"/>
  <c r="F172" i="6"/>
  <c r="E166" i="6"/>
  <c r="G144" i="6"/>
  <c r="G148" i="6"/>
  <c r="G152" i="6"/>
  <c r="D180" i="6"/>
  <c r="E177" i="6" s="1"/>
  <c r="G143" i="6"/>
  <c r="G145" i="6"/>
  <c r="G147" i="6"/>
  <c r="G149" i="6"/>
  <c r="G151" i="6"/>
  <c r="C360" i="6"/>
  <c r="C362" i="6"/>
  <c r="C364" i="6"/>
  <c r="C366" i="6"/>
  <c r="C368" i="6"/>
  <c r="C370" i="6"/>
  <c r="C372" i="6"/>
  <c r="C374" i="6"/>
  <c r="C376" i="6"/>
  <c r="C378" i="6"/>
  <c r="C380" i="6"/>
  <c r="H139" i="5" l="1"/>
  <c r="I136" i="5" s="1"/>
  <c r="C5" i="5"/>
  <c r="D5" i="5"/>
  <c r="S118" i="5"/>
  <c r="T86" i="5"/>
  <c r="T118" i="5" s="1"/>
  <c r="Q347" i="2"/>
  <c r="P86" i="5"/>
  <c r="O118" i="5"/>
  <c r="P83" i="5"/>
  <c r="R335" i="2"/>
  <c r="Q335" i="2"/>
  <c r="E178" i="6"/>
  <c r="E179" i="6"/>
  <c r="I138" i="5" l="1"/>
  <c r="I137" i="5"/>
  <c r="P118" i="5"/>
  <c r="O418" i="3"/>
  <c r="P392" i="3" s="1"/>
  <c r="P417" i="3" l="1"/>
  <c r="Q417" i="3" s="1"/>
  <c r="P415" i="3"/>
  <c r="P413" i="3"/>
  <c r="P411" i="3"/>
  <c r="P409" i="3"/>
  <c r="P407" i="3"/>
  <c r="P405" i="3"/>
  <c r="P403" i="3"/>
  <c r="P401" i="3"/>
  <c r="P399" i="3"/>
  <c r="P397" i="3"/>
  <c r="P395" i="3"/>
  <c r="P393" i="3"/>
  <c r="P391" i="3"/>
  <c r="P390" i="3"/>
  <c r="P416" i="3"/>
  <c r="Q416" i="3" s="1"/>
  <c r="P414" i="3"/>
  <c r="P412" i="3"/>
  <c r="P410" i="3"/>
  <c r="P408" i="3"/>
  <c r="P406" i="3"/>
  <c r="P404" i="3"/>
  <c r="P402" i="3"/>
  <c r="P400" i="3"/>
  <c r="P398" i="3"/>
  <c r="P396" i="3"/>
  <c r="P394" i="3"/>
  <c r="Q404" i="3" l="1"/>
  <c r="Q390" i="3"/>
  <c r="R390" i="3" s="1"/>
  <c r="Q393" i="3"/>
  <c r="R393" i="3" s="1"/>
  <c r="D208" i="3" l="1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07" i="3"/>
  <c r="A374" i="3" l="1"/>
  <c r="F201" i="3" l="1"/>
  <c r="G200" i="3" s="1"/>
  <c r="C102" i="3"/>
  <c r="C44" i="5" s="1"/>
  <c r="C23" i="3"/>
  <c r="G195" i="3" l="1"/>
  <c r="C207" i="3"/>
  <c r="E190" i="3"/>
  <c r="F187" i="3" s="1"/>
  <c r="F154" i="3"/>
  <c r="G198" i="3" l="1"/>
  <c r="G194" i="3"/>
  <c r="G196" i="3"/>
  <c r="G199" i="3"/>
  <c r="G197" i="3"/>
  <c r="F185" i="3"/>
  <c r="F188" i="3"/>
  <c r="F186" i="3"/>
  <c r="F189" i="3"/>
  <c r="A337" i="3" l="1"/>
  <c r="C384" i="3" s="1"/>
  <c r="A302" i="3"/>
  <c r="A267" i="3"/>
  <c r="C242" i="3" s="1"/>
  <c r="B232" i="3"/>
  <c r="B6" i="3"/>
  <c r="D172" i="3"/>
  <c r="F172" i="3" s="1"/>
  <c r="B102" i="3"/>
  <c r="B44" i="5" s="1"/>
  <c r="C19" i="3"/>
  <c r="C20" i="3"/>
  <c r="C21" i="3"/>
  <c r="C22" i="3"/>
  <c r="C18" i="3"/>
  <c r="D167" i="3"/>
  <c r="G153" i="3"/>
  <c r="D102" i="3" l="1"/>
  <c r="D44" i="5" s="1"/>
  <c r="D103" i="3"/>
  <c r="D232" i="3"/>
  <c r="B4" i="5"/>
  <c r="C335" i="3"/>
  <c r="C372" i="3"/>
  <c r="E166" i="3"/>
  <c r="F167" i="3"/>
  <c r="C295" i="3"/>
  <c r="C300" i="3"/>
  <c r="C260" i="3"/>
  <c r="C265" i="3"/>
  <c r="C330" i="3"/>
  <c r="C367" i="3"/>
  <c r="C371" i="3"/>
  <c r="C369" i="3"/>
  <c r="C366" i="3"/>
  <c r="C364" i="3"/>
  <c r="C362" i="3"/>
  <c r="C360" i="3"/>
  <c r="C358" i="3"/>
  <c r="C356" i="3"/>
  <c r="C354" i="3"/>
  <c r="C352" i="3"/>
  <c r="C350" i="3"/>
  <c r="C355" i="3"/>
  <c r="C353" i="3"/>
  <c r="C349" i="3"/>
  <c r="C373" i="3"/>
  <c r="C370" i="3"/>
  <c r="C368" i="3"/>
  <c r="C365" i="3"/>
  <c r="C363" i="3"/>
  <c r="C361" i="3"/>
  <c r="C359" i="3"/>
  <c r="C357" i="3"/>
  <c r="C351" i="3"/>
  <c r="C313" i="3"/>
  <c r="C325" i="3"/>
  <c r="C279" i="3"/>
  <c r="C290" i="3"/>
  <c r="C243" i="3"/>
  <c r="C255" i="3"/>
  <c r="D178" i="3"/>
  <c r="D181" i="3" s="1"/>
  <c r="E180" i="3" s="1"/>
  <c r="C312" i="3"/>
  <c r="C334" i="3"/>
  <c r="C332" i="3"/>
  <c r="C329" i="3"/>
  <c r="C327" i="3"/>
  <c r="C324" i="3"/>
  <c r="C322" i="3"/>
  <c r="C320" i="3"/>
  <c r="C318" i="3"/>
  <c r="C316" i="3"/>
  <c r="C314" i="3"/>
  <c r="C336" i="3"/>
  <c r="C333" i="3"/>
  <c r="C331" i="3"/>
  <c r="C328" i="3"/>
  <c r="C326" i="3"/>
  <c r="C323" i="3"/>
  <c r="C321" i="3"/>
  <c r="C319" i="3"/>
  <c r="C317" i="3"/>
  <c r="C315" i="3"/>
  <c r="C301" i="3"/>
  <c r="C298" i="3"/>
  <c r="C296" i="3"/>
  <c r="C293" i="3"/>
  <c r="C291" i="3"/>
  <c r="C288" i="3"/>
  <c r="C286" i="3"/>
  <c r="C284" i="3"/>
  <c r="C282" i="3"/>
  <c r="C280" i="3"/>
  <c r="C278" i="3"/>
  <c r="C277" i="3"/>
  <c r="C299" i="3"/>
  <c r="C297" i="3"/>
  <c r="C294" i="3"/>
  <c r="C292" i="3"/>
  <c r="C289" i="3"/>
  <c r="C287" i="3"/>
  <c r="C285" i="3"/>
  <c r="C283" i="3"/>
  <c r="C281" i="3"/>
  <c r="C264" i="3"/>
  <c r="C259" i="3"/>
  <c r="C254" i="3"/>
  <c r="C250" i="3"/>
  <c r="C246" i="3"/>
  <c r="C262" i="3"/>
  <c r="C257" i="3"/>
  <c r="C252" i="3"/>
  <c r="C248" i="3"/>
  <c r="C244" i="3"/>
  <c r="C266" i="3"/>
  <c r="C263" i="3"/>
  <c r="C261" i="3"/>
  <c r="C258" i="3"/>
  <c r="C256" i="3"/>
  <c r="C253" i="3"/>
  <c r="C251" i="3"/>
  <c r="C249" i="3"/>
  <c r="C247" i="3"/>
  <c r="C245" i="3"/>
  <c r="E171" i="3"/>
  <c r="E170" i="3"/>
  <c r="G142" i="3"/>
  <c r="G144" i="3"/>
  <c r="G146" i="3"/>
  <c r="G143" i="3"/>
  <c r="G145" i="3"/>
  <c r="G147" i="3"/>
  <c r="G149" i="3"/>
  <c r="G148" i="3"/>
  <c r="G150" i="3"/>
  <c r="G152" i="3"/>
  <c r="G151" i="3"/>
  <c r="E165" i="3"/>
  <c r="D4" i="5" l="1"/>
  <c r="C4" i="5"/>
  <c r="E179" i="3"/>
  <c r="C24" i="3"/>
  <c r="E178" i="3"/>
  <c r="C25" i="3" l="1"/>
  <c r="C26" i="3" l="1"/>
  <c r="C27" i="3" l="1"/>
  <c r="C28" i="3" l="1"/>
  <c r="C29" i="3" l="1"/>
  <c r="D158" i="2" l="1"/>
  <c r="D161" i="2" s="1"/>
  <c r="E160" i="2" s="1"/>
  <c r="F181" i="2"/>
  <c r="D174" i="2"/>
  <c r="D148" i="2"/>
  <c r="G179" i="2" l="1"/>
  <c r="E173" i="2"/>
  <c r="E172" i="2"/>
  <c r="E147" i="2"/>
  <c r="E159" i="2"/>
  <c r="G178" i="2"/>
  <c r="G180" i="2"/>
  <c r="E146" i="2"/>
  <c r="D153" i="2"/>
  <c r="E152" i="2" s="1"/>
  <c r="E158" i="2"/>
  <c r="G177" i="2"/>
  <c r="E151" i="2" l="1"/>
  <c r="C16" i="2"/>
  <c r="C17" i="2"/>
  <c r="C18" i="2"/>
  <c r="C19" i="2"/>
  <c r="C20" i="2"/>
  <c r="C21" i="2"/>
  <c r="C22" i="2"/>
  <c r="C23" i="2"/>
  <c r="C15" i="2"/>
  <c r="A293" i="2" l="1"/>
  <c r="C274" i="2" s="1"/>
  <c r="A264" i="2"/>
  <c r="C245" i="2" s="1"/>
  <c r="C273" i="2" l="1"/>
  <c r="C289" i="2"/>
  <c r="C285" i="2"/>
  <c r="C281" i="2"/>
  <c r="C277" i="2"/>
  <c r="C291" i="2"/>
  <c r="C287" i="2"/>
  <c r="C283" i="2"/>
  <c r="C279" i="2"/>
  <c r="C275" i="2"/>
  <c r="C292" i="2"/>
  <c r="C290" i="2"/>
  <c r="C288" i="2"/>
  <c r="C286" i="2"/>
  <c r="C284" i="2"/>
  <c r="C282" i="2"/>
  <c r="C280" i="2"/>
  <c r="C278" i="2"/>
  <c r="C276" i="2"/>
  <c r="C244" i="2"/>
  <c r="C262" i="2"/>
  <c r="C260" i="2"/>
  <c r="C258" i="2"/>
  <c r="C256" i="2"/>
  <c r="C254" i="2"/>
  <c r="C252" i="2"/>
  <c r="C250" i="2"/>
  <c r="C248" i="2"/>
  <c r="C246" i="2"/>
  <c r="C263" i="2"/>
  <c r="C261" i="2"/>
  <c r="C259" i="2"/>
  <c r="C257" i="2"/>
  <c r="C255" i="2"/>
  <c r="C253" i="2"/>
  <c r="C251" i="2"/>
  <c r="C249" i="2"/>
  <c r="C247" i="2"/>
  <c r="D84" i="2"/>
  <c r="D43" i="5" s="1"/>
  <c r="A235" i="2" l="1"/>
  <c r="F135" i="2" l="1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186" i="2"/>
  <c r="C207" i="2" l="1"/>
  <c r="G125" i="2"/>
  <c r="G127" i="2"/>
  <c r="G129" i="2"/>
  <c r="G131" i="2"/>
  <c r="G133" i="2"/>
  <c r="G124" i="2"/>
  <c r="G126" i="2"/>
  <c r="G128" i="2"/>
  <c r="G130" i="2"/>
  <c r="G132" i="2"/>
  <c r="G134" i="2"/>
  <c r="G123" i="2"/>
  <c r="C84" i="2"/>
  <c r="C43" i="5" s="1"/>
  <c r="B84" i="2"/>
  <c r="B43" i="5" s="1"/>
  <c r="C217" i="2" l="1"/>
  <c r="C219" i="2"/>
  <c r="C221" i="2"/>
  <c r="C223" i="2"/>
  <c r="C225" i="2"/>
  <c r="C227" i="2"/>
  <c r="C229" i="2"/>
  <c r="C231" i="2"/>
  <c r="C233" i="2"/>
  <c r="C215" i="2"/>
  <c r="C216" i="2"/>
  <c r="C218" i="2"/>
  <c r="C220" i="2"/>
  <c r="C222" i="2"/>
  <c r="C224" i="2"/>
  <c r="C226" i="2"/>
  <c r="C228" i="2"/>
  <c r="C230" i="2"/>
  <c r="C232" i="2"/>
  <c r="C234" i="2"/>
  <c r="P332" i="2" l="1"/>
  <c r="Q332" i="2" l="1"/>
  <c r="P359" i="2"/>
  <c r="R332" i="2" l="1"/>
  <c r="R359" i="2" s="1"/>
  <c r="Q359" i="2"/>
</calcChain>
</file>

<file path=xl/comments1.xml><?xml version="1.0" encoding="utf-8"?>
<comments xmlns="http://schemas.openxmlformats.org/spreadsheetml/2006/main">
  <authors>
    <author>DEFAY Jean-Louis (JUST-EXT)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at least one message exchanged since the beginning of the year</t>
        </r>
      </text>
    </comment>
  </commentList>
</comments>
</file>

<file path=xl/comments2.xml><?xml version="1.0" encoding="utf-8"?>
<comments xmlns="http://schemas.openxmlformats.org/spreadsheetml/2006/main">
  <authors>
    <author>Jorge Ribeiro Jordao</author>
  </authors>
  <commentList>
    <comment ref="D74" authorId="0">
      <text>
        <r>
          <rPr>
            <sz val="9"/>
            <color indexed="81"/>
            <rFont val="Tahoma"/>
            <family val="2"/>
          </rPr>
          <t>Denial + Problem + Response</t>
        </r>
      </text>
    </comment>
  </commentList>
</comments>
</file>

<file path=xl/comments3.xml><?xml version="1.0" encoding="utf-8"?>
<comments xmlns="http://schemas.openxmlformats.org/spreadsheetml/2006/main">
  <authors>
    <author>DEFAY Jean-Louis (JUST-EXT)</author>
    <author>Jorge Ribeiro Jordao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active connections during the month = exchanging at least one message</t>
        </r>
      </text>
    </comment>
    <comment ref="D89" authorId="1">
      <text>
        <r>
          <rPr>
            <sz val="9"/>
            <color indexed="81"/>
            <rFont val="Tahoma"/>
            <family val="2"/>
          </rPr>
          <t>Denial + Problem + Response</t>
        </r>
      </text>
    </comment>
    <comment ref="A205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at least one message exchanged since the beginning of ECRIS</t>
        </r>
      </text>
    </comment>
  </commentList>
</comments>
</file>

<file path=xl/comments4.xml><?xml version="1.0" encoding="utf-8"?>
<comments xmlns="http://schemas.openxmlformats.org/spreadsheetml/2006/main">
  <authors>
    <author>DEFAY Jean-Louis (JUST-EXT)</author>
    <author>Jorge Ribeiro Jordao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in fact 25 MS as SI is still in test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active connections during the month = exchanging at least one message</t>
        </r>
      </text>
    </comment>
    <comment ref="D89" authorId="1">
      <text>
        <r>
          <rPr>
            <sz val="9"/>
            <color indexed="81"/>
            <rFont val="Tahoma"/>
            <family val="2"/>
          </rPr>
          <t>Denial + Problem + Response</t>
        </r>
      </text>
    </comment>
    <comment ref="A211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at least one message exchanged since the beginning of Ecris</t>
        </r>
      </text>
    </comment>
  </commentList>
</comments>
</file>

<file path=xl/comments5.xml><?xml version="1.0" encoding="utf-8"?>
<comments xmlns="http://schemas.openxmlformats.org/spreadsheetml/2006/main">
  <authors>
    <author>DEFAY Jean-Louis (JUST-EXT)</author>
    <author>Jorge Ribeiro Jordao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active connections during the month = exchanging at least one message</t>
        </r>
      </text>
    </comment>
    <comment ref="D89" authorId="1">
      <text>
        <r>
          <rPr>
            <sz val="9"/>
            <color indexed="81"/>
            <rFont val="Tahoma"/>
            <family val="2"/>
          </rPr>
          <t>Denial + Problem + Response</t>
        </r>
      </text>
    </comment>
    <comment ref="F172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due to new  request purpose 003101 not reported by RI 1.3 and 1.4</t>
        </r>
      </text>
    </comment>
    <comment ref="A211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at least one message exchanged since the beginning of Ecris</t>
        </r>
      </text>
    </comment>
  </commentList>
</comments>
</file>

<file path=xl/sharedStrings.xml><?xml version="1.0" encoding="utf-8"?>
<sst xmlns="http://schemas.openxmlformats.org/spreadsheetml/2006/main" count="1909" uniqueCount="222">
  <si>
    <t>NOT</t>
  </si>
  <si>
    <t>REQ</t>
  </si>
  <si>
    <t>HU</t>
  </si>
  <si>
    <t>SK</t>
  </si>
  <si>
    <t>May</t>
  </si>
  <si>
    <t>Jun</t>
  </si>
  <si>
    <t>Jul</t>
  </si>
  <si>
    <t>Aug</t>
  </si>
  <si>
    <t>Sep</t>
  </si>
  <si>
    <t>Oct</t>
  </si>
  <si>
    <t>Nov</t>
  </si>
  <si>
    <t>Messages</t>
  </si>
  <si>
    <t>Dec</t>
  </si>
  <si>
    <t>BE BG</t>
  </si>
  <si>
    <t>AT</t>
  </si>
  <si>
    <t>BE</t>
  </si>
  <si>
    <t>BG</t>
  </si>
  <si>
    <t>CZ</t>
  </si>
  <si>
    <t>DE</t>
  </si>
  <si>
    <t>DK</t>
  </si>
  <si>
    <t>EE</t>
  </si>
  <si>
    <t>ES</t>
  </si>
  <si>
    <t>FI</t>
  </si>
  <si>
    <t>FR</t>
  </si>
  <si>
    <t>GB</t>
  </si>
  <si>
    <t>GR</t>
  </si>
  <si>
    <t>IE</t>
  </si>
  <si>
    <t>LT</t>
  </si>
  <si>
    <t>LV</t>
  </si>
  <si>
    <t>NL</t>
  </si>
  <si>
    <t>PL</t>
  </si>
  <si>
    <t>RO</t>
  </si>
  <si>
    <t>Apr</t>
  </si>
  <si>
    <t>AT CZ DE DK EE ES FR GB GR IE LT LV NL PL RO</t>
  </si>
  <si>
    <t>Replies to notifications</t>
  </si>
  <si>
    <t>Replies to requests</t>
  </si>
  <si>
    <t>Messages per MS</t>
  </si>
  <si>
    <t>Messages per type</t>
  </si>
  <si>
    <t>Notification</t>
  </si>
  <si>
    <t>NPB</t>
  </si>
  <si>
    <t>Notification Problem</t>
  </si>
  <si>
    <t>NRC</t>
  </si>
  <si>
    <t>Notification Receipt</t>
  </si>
  <si>
    <t>Request</t>
  </si>
  <si>
    <t>RDL</t>
  </si>
  <si>
    <t>Request Deadline</t>
  </si>
  <si>
    <t>RDN</t>
  </si>
  <si>
    <t>Request Denial</t>
  </si>
  <si>
    <t>RPB</t>
  </si>
  <si>
    <t>Request Problem</t>
  </si>
  <si>
    <t>RRS</t>
  </si>
  <si>
    <t>Request Response</t>
  </si>
  <si>
    <t>RAI</t>
  </si>
  <si>
    <t>Request Additional Info</t>
  </si>
  <si>
    <t>AI</t>
  </si>
  <si>
    <t>Additional Info</t>
  </si>
  <si>
    <t>AIU</t>
  </si>
  <si>
    <t>FE</t>
  </si>
  <si>
    <t>Functional Error</t>
  </si>
  <si>
    <t>Receipt</t>
  </si>
  <si>
    <t>Denial</t>
  </si>
  <si>
    <t>Main message types</t>
  </si>
  <si>
    <t>Additional Info Unavailable</t>
  </si>
  <si>
    <t>RREQ</t>
  </si>
  <si>
    <t>Stateless</t>
  </si>
  <si>
    <t>EU</t>
  </si>
  <si>
    <t>Notifications per MS</t>
  </si>
  <si>
    <t>Requests per MS</t>
  </si>
  <si>
    <t>"Live" Member States</t>
  </si>
  <si>
    <t>Notifications</t>
  </si>
  <si>
    <t>New conviction</t>
  </si>
  <si>
    <t>Conviction update</t>
  </si>
  <si>
    <t>Requests</t>
  </si>
  <si>
    <t>For criminal proceedings</t>
  </si>
  <si>
    <t>For other purposes</t>
  </si>
  <si>
    <t>Nationalities in requests</t>
  </si>
  <si>
    <t>Third country</t>
  </si>
  <si>
    <t>Problem</t>
  </si>
  <si>
    <t>Response: no convictions</t>
  </si>
  <si>
    <t>Response: one or more convictions</t>
  </si>
  <si>
    <t>Jan</t>
  </si>
  <si>
    <t>AT BE BG CZ DE DK EE ES FI FR GB GR HU IE LT LV NL PL RO SK</t>
  </si>
  <si>
    <t>IT</t>
  </si>
  <si>
    <t>Feb</t>
  </si>
  <si>
    <t>Mar</t>
  </si>
  <si>
    <t>CY</t>
  </si>
  <si>
    <t>notification receipt</t>
  </si>
  <si>
    <t>fingerprints do not match</t>
  </si>
  <si>
    <t>multiple persons found</t>
  </si>
  <si>
    <t>person deceased</t>
  </si>
  <si>
    <t xml:space="preserve">not a national </t>
  </si>
  <si>
    <t>Total</t>
  </si>
  <si>
    <t>not a national</t>
  </si>
  <si>
    <t>average</t>
  </si>
  <si>
    <t>fingerprints do not match main indentity</t>
  </si>
  <si>
    <t>HR</t>
  </si>
  <si>
    <t>LU</t>
  </si>
  <si>
    <t>Req Response  per MS</t>
  </si>
  <si>
    <t>SE</t>
  </si>
  <si>
    <t>nb</t>
  </si>
  <si>
    <t>% of 24</t>
  </si>
  <si>
    <t>% of 27</t>
  </si>
  <si>
    <t>year</t>
  </si>
  <si>
    <t>count</t>
  </si>
  <si>
    <t>Request purpose category</t>
  </si>
  <si>
    <t>%</t>
  </si>
  <si>
    <t>001000 - criminal proceeding</t>
  </si>
  <si>
    <t>001001 - court trial</t>
  </si>
  <si>
    <t>001002 - the execution of the conviction</t>
  </si>
  <si>
    <t>002000 - non-criminal proceeding from a competent administrative authority</t>
  </si>
  <si>
    <t>002001 - obtaining a permit to carry weapons</t>
  </si>
  <si>
    <t>002002 - obtaining a hunting license</t>
  </si>
  <si>
    <t>002004 - obtaining a VISA</t>
  </si>
  <si>
    <t>002005 - obtaining a driving license</t>
  </si>
  <si>
    <t>002006 - changing nationality</t>
  </si>
  <si>
    <t>002007 - obtaining a permit to use explosives</t>
  </si>
  <si>
    <t>002008 - obtaining a detective license</t>
  </si>
  <si>
    <t>002011 - obtaining a license of insurance agent or of brokerage in insurances</t>
  </si>
  <si>
    <t>002012 - obtaining a license of advocate</t>
  </si>
  <si>
    <t>002016 - obtaining a driving instructor’s license</t>
  </si>
  <si>
    <t>003000 - employment vetting</t>
  </si>
  <si>
    <t>003001 - employment in relation with children</t>
  </si>
  <si>
    <t>003002 - employment in relation with disabled persons</t>
  </si>
  <si>
    <t>003003 - employment in the public sector</t>
  </si>
  <si>
    <t>003004 - employment in the police or law-enforcement authorities</t>
  </si>
  <si>
    <t>003005 - employment in airport authorities</t>
  </si>
  <si>
    <t>003006 - employment in security services (private sector)</t>
  </si>
  <si>
    <t>003007 - obtaining a permit to work or familiarise with confidential information</t>
  </si>
  <si>
    <t>003008 - obtaining a permit to perform armed/unarmed bodyguard and property protection</t>
  </si>
  <si>
    <t>003013 - employment professional driver or taxi driver</t>
  </si>
  <si>
    <t>003014 - employment as professional job agent or career adviser</t>
  </si>
  <si>
    <t>004000 - non-criminal proceeding from the person concerned for information on own criminal record</t>
  </si>
  <si>
    <t>005000 - obtaining a permit to stand for elections</t>
  </si>
  <si>
    <t>003009 - employment as teacher</t>
  </si>
  <si>
    <t>TOTAL</t>
  </si>
  <si>
    <t>"Live" Member States exchanging criminal records</t>
  </si>
  <si>
    <t>Month</t>
  </si>
  <si>
    <t>total</t>
  </si>
  <si>
    <t>% of 19</t>
  </si>
  <si>
    <t>% of 26</t>
  </si>
  <si>
    <t>AT BE BG CY CZ DE DK EE ES FI FR GB GR HR HU IE IT LT LU LV NL PL RO SE SK</t>
  </si>
  <si>
    <t>Monthly Interconnections</t>
  </si>
  <si>
    <t>% of 25</t>
  </si>
  <si>
    <t>% of 28</t>
  </si>
  <si>
    <t>002018 - obtaining a license for supplying services in regards to excise goods exempted from taxation</t>
  </si>
  <si>
    <t>002019 - obtaining a license of a trainer in civil aviation security</t>
  </si>
  <si>
    <t xml:space="preserve">Top 5 in </t>
  </si>
  <si>
    <t>002010 -  obtaining a broking license</t>
  </si>
  <si>
    <t>003011 - employment as a professional soldier</t>
  </si>
  <si>
    <t>requests</t>
  </si>
  <si>
    <t>Responses</t>
  </si>
  <si>
    <t>Requests sent in 2013 per destination</t>
  </si>
  <si>
    <t>DE Top 4</t>
  </si>
  <si>
    <t>others 8</t>
  </si>
  <si>
    <t>GB Top 4</t>
  </si>
  <si>
    <t>others 13</t>
  </si>
  <si>
    <t>others 19</t>
  </si>
  <si>
    <t>to</t>
  </si>
  <si>
    <t>AT Top 4</t>
  </si>
  <si>
    <t>Notifications sent in 2013 per destination</t>
  </si>
  <si>
    <t>receiver</t>
  </si>
  <si>
    <t>others 12</t>
  </si>
  <si>
    <t>IT Top 4</t>
  </si>
  <si>
    <t>GB Top 5</t>
  </si>
  <si>
    <t>Request with expired deadline</t>
  </si>
  <si>
    <t>% of req</t>
  </si>
  <si>
    <t>Partners per MS (from start)</t>
  </si>
  <si>
    <t xml:space="preserve">Partners per MS </t>
  </si>
  <si>
    <t>Dest</t>
  </si>
  <si>
    <t>% of Req</t>
  </si>
  <si>
    <t>Req</t>
  </si>
  <si>
    <t>Expired</t>
  </si>
  <si>
    <t>expired Req</t>
  </si>
  <si>
    <t>dest</t>
  </si>
  <si>
    <t>tot</t>
  </si>
  <si>
    <t>SI</t>
  </si>
  <si>
    <t>Nationalities in req responses</t>
  </si>
  <si>
    <t>delta</t>
  </si>
  <si>
    <t>003010 - employment as university teacher</t>
  </si>
  <si>
    <t>ECRIS 2014 Statistics</t>
  </si>
  <si>
    <t>ECRIS 2013 Statistics</t>
  </si>
  <si>
    <t>ECRIS 2012 Statistics</t>
  </si>
  <si>
    <t>SI (test only)</t>
  </si>
  <si>
    <t>Other 17</t>
  </si>
  <si>
    <t>others 16</t>
  </si>
  <si>
    <t>FR Top 5</t>
  </si>
  <si>
    <t>Other 14</t>
  </si>
  <si>
    <t>DE Top 6</t>
  </si>
  <si>
    <t>Other 20</t>
  </si>
  <si>
    <t>Denial - not allowed to answer</t>
  </si>
  <si>
    <t>Problem: Multiple persons found</t>
  </si>
  <si>
    <t>Problem: Person deceased</t>
  </si>
  <si>
    <t>Problem: Not a national</t>
  </si>
  <si>
    <t>Problem: Fingerprints do not match main indentity</t>
  </si>
  <si>
    <t>Requests sent in 2014 per destination</t>
  </si>
  <si>
    <t>From DE</t>
  </si>
  <si>
    <t>From GB</t>
  </si>
  <si>
    <t>From AT</t>
  </si>
  <si>
    <t>Notifications sent in 2014 per destination</t>
  </si>
  <si>
    <t>From IT</t>
  </si>
  <si>
    <t>From FR</t>
  </si>
  <si>
    <t>MT</t>
  </si>
  <si>
    <r>
      <t xml:space="preserve">AT BE BG CY CZ DE DK EE ES FI FR GB GR HR HU IE IT LT LU LV </t>
    </r>
    <r>
      <rPr>
        <sz val="10"/>
        <color rgb="FFFF0000"/>
        <rFont val="Arial"/>
        <family val="2"/>
      </rPr>
      <t>MT</t>
    </r>
    <r>
      <rPr>
        <sz val="10"/>
        <rFont val="Arial"/>
        <family val="2"/>
      </rPr>
      <t xml:space="preserve"> NL PL RO SE SK</t>
    </r>
  </si>
  <si>
    <t>003101 - recruiting a person for professional or organized voluntary activities involving direct and regular contacts with children</t>
  </si>
  <si>
    <t>002003 - obtaining a fishing license</t>
  </si>
  <si>
    <t>ECRIS 2015 Statistics</t>
  </si>
  <si>
    <r>
      <t xml:space="preserve">AT BE BG CY CZ DE DK EE ES FI FR GB GR HR HU IE IT LT LU LV </t>
    </r>
    <r>
      <rPr>
        <sz val="10"/>
        <rFont val="Arial"/>
        <family val="2"/>
      </rPr>
      <t>NL PL RO SE SK</t>
    </r>
  </si>
  <si>
    <t>Avg</t>
  </si>
  <si>
    <t>Average</t>
  </si>
  <si>
    <t>Main type of messages</t>
  </si>
  <si>
    <t>Year</t>
  </si>
  <si>
    <t>Number</t>
  </si>
  <si>
    <t>AVG</t>
  </si>
  <si>
    <t>Requests sent in 2015 per destination</t>
  </si>
  <si>
    <t>Notifications sent in 2015 per destination</t>
  </si>
  <si>
    <t>From BE</t>
  </si>
  <si>
    <t>DE Top 5</t>
  </si>
  <si>
    <t>Other 19</t>
  </si>
  <si>
    <t>AT Top 5</t>
  </si>
  <si>
    <t>IT Top 5</t>
  </si>
  <si>
    <t>Other 18</t>
  </si>
  <si>
    <t>BE Top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</si>
</sst>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%"/>
    <numFmt numFmtId="166" formatCode="_-* #,##0.0_-;\-* #,##0.0_-;_-* &quot;-&quot;??_-;_-@_-"/>
    <numFmt numFmtId="167" formatCode="yyyy"/>
    <numFmt numFmtId="172" formatCode="0.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6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/>
    <xf numFmtId="0" fontId="31" fillId="0" borderId="0"/>
    <xf numFmtId="0" fontId="27" fillId="0" borderId="0"/>
    <xf numFmtId="0" fontId="27" fillId="0" borderId="0"/>
    <xf numFmtId="0" fontId="5" fillId="0" borderId="0"/>
    <xf numFmtId="9" fontId="32" fillId="0" borderId="0" applyFont="0" applyFill="0" applyBorder="0" applyAlignment="0" applyProtection="0"/>
    <xf numFmtId="0" fontId="33" fillId="0" borderId="0"/>
    <xf numFmtId="0" fontId="4" fillId="0" borderId="0"/>
    <xf numFmtId="0" fontId="33" fillId="0" borderId="0"/>
    <xf numFmtId="164" fontId="3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7" fillId="0" borderId="0"/>
    <xf numFmtId="0" fontId="27" fillId="0" borderId="0"/>
    <xf numFmtId="0" fontId="2" fillId="0" borderId="0"/>
    <xf numFmtId="0" fontId="27" fillId="0" borderId="0"/>
    <xf numFmtId="0" fontId="1" fillId="0" borderId="0"/>
    <xf numFmtId="0" fontId="27" fillId="0" borderId="0"/>
  </cellStyleXfs>
  <cellXfs count="450">
    <xf numFmtId="0" fontId="0" fillId="0" borderId="0" xfId="0"/>
    <xf numFmtId="0" fontId="0" fillId="24" borderId="10" xfId="0" applyFill="1" applyBorder="1"/>
    <xf numFmtId="1" fontId="0" fillId="0" borderId="10" xfId="0" applyNumberFormat="1" applyBorder="1"/>
    <xf numFmtId="0" fontId="0" fillId="0" borderId="10" xfId="0" applyBorder="1"/>
    <xf numFmtId="0" fontId="24" fillId="25" borderId="11" xfId="0" applyFont="1" applyFill="1" applyBorder="1" applyAlignment="1">
      <alignment horizontal="center"/>
    </xf>
    <xf numFmtId="0" fontId="0" fillId="0" borderId="10" xfId="0" applyBorder="1" applyAlignment="1"/>
    <xf numFmtId="0" fontId="11" fillId="0" borderId="0" xfId="0" applyFont="1"/>
    <xf numFmtId="1" fontId="25" fillId="0" borderId="10" xfId="0" applyNumberFormat="1" applyFont="1" applyBorder="1"/>
    <xf numFmtId="0" fontId="0" fillId="0" borderId="0" xfId="0" applyBorder="1" applyAlignment="1"/>
    <xf numFmtId="1" fontId="0" fillId="0" borderId="10" xfId="0" applyNumberFormat="1" applyBorder="1" applyAlignment="1"/>
    <xf numFmtId="9" fontId="0" fillId="0" borderId="10" xfId="0" applyNumberFormat="1" applyBorder="1" applyAlignment="1"/>
    <xf numFmtId="0" fontId="0" fillId="0" borderId="10" xfId="0" applyFill="1" applyBorder="1"/>
    <xf numFmtId="0" fontId="0" fillId="0" borderId="10" xfId="0" applyFill="1" applyBorder="1" applyAlignment="1"/>
    <xf numFmtId="1" fontId="11" fillId="0" borderId="10" xfId="0" applyNumberFormat="1" applyFont="1" applyBorder="1"/>
    <xf numFmtId="0" fontId="27" fillId="0" borderId="10" xfId="42" applyFont="1" applyFill="1" applyBorder="1" applyAlignment="1">
      <alignment wrapText="1"/>
    </xf>
    <xf numFmtId="0" fontId="28" fillId="0" borderId="10" xfId="0" applyFont="1" applyFill="1" applyBorder="1" applyAlignment="1"/>
    <xf numFmtId="0" fontId="27" fillId="0" borderId="10" xfId="42" applyFont="1" applyFill="1" applyBorder="1" applyAlignment="1"/>
    <xf numFmtId="165" fontId="0" fillId="0" borderId="10" xfId="0" applyNumberFormat="1" applyBorder="1"/>
    <xf numFmtId="9" fontId="0" fillId="0" borderId="10" xfId="0" applyNumberFormat="1" applyBorder="1"/>
    <xf numFmtId="165" fontId="0" fillId="0" borderId="0" xfId="0" applyNumberFormat="1" applyAlignment="1"/>
    <xf numFmtId="9" fontId="0" fillId="0" borderId="0" xfId="0" applyNumberFormat="1" applyBorder="1" applyAlignment="1"/>
    <xf numFmtId="165" fontId="0" fillId="0" borderId="0" xfId="0" applyNumberFormat="1" applyBorder="1"/>
    <xf numFmtId="9" fontId="25" fillId="0" borderId="0" xfId="0" applyNumberFormat="1" applyFont="1" applyBorder="1"/>
    <xf numFmtId="9" fontId="0" fillId="0" borderId="10" xfId="0" applyNumberFormat="1" applyFill="1" applyBorder="1"/>
    <xf numFmtId="1" fontId="25" fillId="0" borderId="10" xfId="0" applyNumberFormat="1" applyFont="1" applyFill="1" applyBorder="1"/>
    <xf numFmtId="1" fontId="11" fillId="0" borderId="10" xfId="0" applyNumberFormat="1" applyFont="1" applyBorder="1" applyAlignment="1"/>
    <xf numFmtId="0" fontId="24" fillId="25" borderId="0" xfId="0" applyFont="1" applyFill="1" applyBorder="1" applyAlignment="1">
      <alignment horizontal="center"/>
    </xf>
    <xf numFmtId="0" fontId="0" fillId="0" borderId="0" xfId="0" applyProtection="1">
      <protection locked="0"/>
    </xf>
    <xf numFmtId="1" fontId="11" fillId="0" borderId="10" xfId="0" applyNumberFormat="1" applyFont="1" applyBorder="1" applyProtection="1">
      <protection locked="0"/>
    </xf>
    <xf numFmtId="1" fontId="0" fillId="0" borderId="1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9" fontId="0" fillId="0" borderId="0" xfId="0" applyNumberFormat="1" applyBorder="1" applyAlignment="1" applyProtection="1">
      <protection locked="0"/>
    </xf>
    <xf numFmtId="9" fontId="0" fillId="0" borderId="10" xfId="0" applyNumberFormat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27" fillId="0" borderId="10" xfId="42" applyFont="1" applyFill="1" applyBorder="1" applyAlignment="1" applyProtection="1">
      <alignment wrapText="1"/>
      <protection locked="0"/>
    </xf>
    <xf numFmtId="0" fontId="28" fillId="0" borderId="10" xfId="0" applyFont="1" applyFill="1" applyBorder="1" applyAlignment="1" applyProtection="1">
      <protection locked="0"/>
    </xf>
    <xf numFmtId="0" fontId="11" fillId="0" borderId="0" xfId="0" applyFont="1" applyProtection="1">
      <protection locked="0"/>
    </xf>
    <xf numFmtId="0" fontId="24" fillId="25" borderId="11" xfId="0" applyFont="1" applyFill="1" applyBorder="1" applyAlignment="1" applyProtection="1">
      <alignment horizontal="center"/>
      <protection locked="0"/>
    </xf>
    <xf numFmtId="0" fontId="24" fillId="25" borderId="0" xfId="0" applyFont="1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0" fillId="24" borderId="10" xfId="0" applyFill="1" applyBorder="1" applyProtection="1">
      <protection locked="0"/>
    </xf>
    <xf numFmtId="1" fontId="25" fillId="0" borderId="10" xfId="0" applyNumberFormat="1" applyFont="1" applyBorder="1" applyProtection="1">
      <protection locked="0"/>
    </xf>
    <xf numFmtId="165" fontId="0" fillId="0" borderId="0" xfId="0" applyNumberFormat="1" applyAlignment="1" applyProtection="1">
      <protection locked="0"/>
    </xf>
    <xf numFmtId="9" fontId="0" fillId="0" borderId="10" xfId="0" applyNumberFormat="1" applyBorder="1" applyProtection="1">
      <protection locked="0"/>
    </xf>
    <xf numFmtId="1" fontId="0" fillId="0" borderId="10" xfId="0" applyNumberFormat="1" applyFill="1" applyBorder="1" applyAlignment="1" applyProtection="1">
      <protection locked="0"/>
    </xf>
    <xf numFmtId="9" fontId="0" fillId="0" borderId="10" xfId="0" applyNumberFormat="1" applyFill="1" applyBorder="1" applyProtection="1">
      <protection locked="0"/>
    </xf>
    <xf numFmtId="1" fontId="25" fillId="0" borderId="10" xfId="0" applyNumberFormat="1" applyFont="1" applyFill="1" applyBorder="1" applyProtection="1">
      <protection locked="0"/>
    </xf>
    <xf numFmtId="0" fontId="27" fillId="0" borderId="10" xfId="42" applyFont="1" applyFill="1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0" xfId="0" applyNumberFormat="1" applyBorder="1" applyProtection="1">
      <protection locked="0"/>
    </xf>
    <xf numFmtId="9" fontId="25" fillId="0" borderId="0" xfId="0" applyNumberFormat="1" applyFont="1" applyBorder="1" applyProtection="1">
      <protection locked="0"/>
    </xf>
    <xf numFmtId="0" fontId="11" fillId="0" borderId="10" xfId="0" applyFont="1" applyBorder="1" applyProtection="1">
      <protection locked="0"/>
    </xf>
    <xf numFmtId="1" fontId="0" fillId="0" borderId="0" xfId="0" applyNumberFormat="1" applyProtection="1">
      <protection locked="0"/>
    </xf>
    <xf numFmtId="0" fontId="0" fillId="27" borderId="10" xfId="0" applyFill="1" applyBorder="1" applyProtection="1">
      <protection locked="0"/>
    </xf>
    <xf numFmtId="0" fontId="27" fillId="0" borderId="10" xfId="44" applyFont="1" applyFill="1" applyBorder="1" applyAlignment="1">
      <alignment horizontal="right" wrapText="1"/>
    </xf>
    <xf numFmtId="0" fontId="25" fillId="0" borderId="10" xfId="0" applyFont="1" applyBorder="1" applyProtection="1">
      <protection locked="0"/>
    </xf>
    <xf numFmtId="0" fontId="6" fillId="0" borderId="10" xfId="45" applyFont="1" applyFill="1" applyBorder="1" applyAlignment="1">
      <alignment horizontal="right" wrapText="1"/>
    </xf>
    <xf numFmtId="1" fontId="0" fillId="0" borderId="10" xfId="0" applyNumberFormat="1" applyFill="1" applyBorder="1" applyAlignment="1" applyProtection="1">
      <alignment horizontal="right"/>
      <protection locked="0"/>
    </xf>
    <xf numFmtId="0" fontId="24" fillId="25" borderId="15" xfId="0" applyFont="1" applyFill="1" applyBorder="1" applyAlignment="1" applyProtection="1">
      <alignment horizontal="center"/>
      <protection locked="0"/>
    </xf>
    <xf numFmtId="0" fontId="24" fillId="25" borderId="0" xfId="0" applyFont="1" applyFill="1" applyBorder="1" applyAlignment="1" applyProtection="1">
      <alignment horizontal="center"/>
      <protection locked="0"/>
    </xf>
    <xf numFmtId="9" fontId="11" fillId="0" borderId="0" xfId="47" applyFont="1" applyProtection="1">
      <protection locked="0"/>
    </xf>
    <xf numFmtId="0" fontId="0" fillId="0" borderId="0" xfId="0" applyBorder="1" applyProtection="1">
      <protection locked="0"/>
    </xf>
    <xf numFmtId="0" fontId="34" fillId="0" borderId="0" xfId="48" applyFont="1" applyFill="1" applyBorder="1" applyAlignment="1">
      <alignment horizontal="right" wrapText="1"/>
    </xf>
    <xf numFmtId="0" fontId="34" fillId="0" borderId="10" xfId="50" applyFont="1" applyFill="1" applyBorder="1" applyAlignment="1">
      <alignment horizontal="right" wrapText="1"/>
    </xf>
    <xf numFmtId="0" fontId="24" fillId="25" borderId="15" xfId="0" applyFont="1" applyFill="1" applyBorder="1" applyAlignment="1" applyProtection="1">
      <alignment horizontal="center"/>
      <protection locked="0"/>
    </xf>
    <xf numFmtId="0" fontId="24" fillId="25" borderId="0" xfId="0" applyFont="1" applyFill="1" applyBorder="1" applyAlignment="1" applyProtection="1">
      <alignment horizontal="center"/>
      <protection locked="0"/>
    </xf>
    <xf numFmtId="0" fontId="24" fillId="25" borderId="11" xfId="0" applyFont="1" applyFill="1" applyBorder="1" applyAlignment="1" applyProtection="1">
      <alignment horizontal="center"/>
      <protection locked="0"/>
    </xf>
    <xf numFmtId="0" fontId="34" fillId="28" borderId="17" xfId="48" applyFont="1" applyFill="1" applyBorder="1" applyAlignment="1">
      <alignment horizontal="center"/>
    </xf>
    <xf numFmtId="0" fontId="34" fillId="28" borderId="18" xfId="48" applyFont="1" applyFill="1" applyBorder="1" applyAlignment="1">
      <alignment horizontal="center"/>
    </xf>
    <xf numFmtId="0" fontId="34" fillId="0" borderId="20" xfId="48" applyFont="1" applyFill="1" applyBorder="1" applyAlignment="1">
      <alignment horizontal="right" wrapText="1"/>
    </xf>
    <xf numFmtId="0" fontId="34" fillId="0" borderId="22" xfId="48" applyFont="1" applyFill="1" applyBorder="1" applyAlignment="1">
      <alignment horizontal="right" wrapText="1"/>
    </xf>
    <xf numFmtId="0" fontId="34" fillId="0" borderId="23" xfId="48" applyFont="1" applyFill="1" applyBorder="1" applyAlignment="1">
      <alignment horizontal="right" wrapText="1"/>
    </xf>
    <xf numFmtId="0" fontId="34" fillId="0" borderId="25" xfId="48" applyFont="1" applyFill="1" applyBorder="1" applyAlignment="1">
      <alignment horizontal="right" wrapText="1"/>
    </xf>
    <xf numFmtId="0" fontId="34" fillId="0" borderId="27" xfId="48" applyFont="1" applyFill="1" applyBorder="1" applyAlignment="1">
      <alignment horizontal="right" wrapText="1"/>
    </xf>
    <xf numFmtId="0" fontId="34" fillId="0" borderId="12" xfId="48" applyFont="1" applyFill="1" applyBorder="1" applyAlignment="1">
      <alignment horizontal="right" wrapText="1"/>
    </xf>
    <xf numFmtId="0" fontId="34" fillId="0" borderId="28" xfId="48" applyFont="1" applyFill="1" applyBorder="1" applyAlignment="1">
      <alignment horizontal="right" wrapText="1"/>
    </xf>
    <xf numFmtId="0" fontId="34" fillId="0" borderId="29" xfId="48" applyFont="1" applyFill="1" applyBorder="1" applyAlignment="1">
      <alignment horizontal="right" wrapText="1"/>
    </xf>
    <xf numFmtId="165" fontId="0" fillId="0" borderId="10" xfId="47" applyNumberFormat="1" applyFont="1" applyBorder="1" applyProtection="1">
      <protection locked="0"/>
    </xf>
    <xf numFmtId="0" fontId="34" fillId="0" borderId="30" xfId="48" applyFont="1" applyFill="1" applyBorder="1" applyAlignment="1">
      <alignment horizontal="right" wrapText="1"/>
    </xf>
    <xf numFmtId="0" fontId="34" fillId="0" borderId="32" xfId="48" applyFont="1" applyFill="1" applyBorder="1" applyAlignment="1">
      <alignment horizontal="right" wrapText="1"/>
    </xf>
    <xf numFmtId="0" fontId="24" fillId="25" borderId="11" xfId="0" applyFont="1" applyFill="1" applyBorder="1" applyAlignment="1">
      <alignment horizontal="center"/>
    </xf>
    <xf numFmtId="0" fontId="29" fillId="26" borderId="11" xfId="0" applyFont="1" applyFill="1" applyBorder="1" applyAlignment="1" applyProtection="1">
      <alignment horizontal="center"/>
      <protection locked="0"/>
    </xf>
    <xf numFmtId="0" fontId="24" fillId="25" borderId="10" xfId="0" applyFont="1" applyFill="1" applyBorder="1" applyAlignment="1" applyProtection="1">
      <alignment horizontal="center"/>
      <protection locked="0"/>
    </xf>
    <xf numFmtId="0" fontId="24" fillId="25" borderId="11" xfId="0" applyFont="1" applyFill="1" applyBorder="1" applyAlignment="1" applyProtection="1">
      <protection locked="0"/>
    </xf>
    <xf numFmtId="0" fontId="10" fillId="26" borderId="2" xfId="27" applyFill="1" applyProtection="1">
      <protection locked="0"/>
    </xf>
    <xf numFmtId="9" fontId="36" fillId="26" borderId="33" xfId="38" applyNumberFormat="1" applyFont="1" applyFill="1" applyBorder="1" applyAlignment="1" applyProtection="1">
      <protection locked="0"/>
    </xf>
    <xf numFmtId="1" fontId="25" fillId="0" borderId="12" xfId="0" applyNumberFormat="1" applyFont="1" applyBorder="1" applyAlignment="1" applyProtection="1">
      <protection locked="0"/>
    </xf>
    <xf numFmtId="1" fontId="25" fillId="0" borderId="13" xfId="0" applyNumberFormat="1" applyFont="1" applyBorder="1" applyAlignment="1" applyProtection="1">
      <protection locked="0"/>
    </xf>
    <xf numFmtId="0" fontId="25" fillId="0" borderId="0" xfId="0" applyFont="1" applyProtection="1">
      <protection locked="0"/>
    </xf>
    <xf numFmtId="0" fontId="0" fillId="0" borderId="0" xfId="0" applyFill="1" applyBorder="1"/>
    <xf numFmtId="0" fontId="0" fillId="0" borderId="34" xfId="0" applyFill="1" applyBorder="1"/>
    <xf numFmtId="0" fontId="10" fillId="21" borderId="2" xfId="27"/>
    <xf numFmtId="9" fontId="0" fillId="0" borderId="0" xfId="0" applyNumberFormat="1"/>
    <xf numFmtId="166" fontId="0" fillId="0" borderId="0" xfId="51" applyNumberFormat="1" applyFont="1"/>
    <xf numFmtId="9" fontId="0" fillId="0" borderId="0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" fontId="25" fillId="0" borderId="10" xfId="0" applyNumberFormat="1" applyFont="1" applyBorder="1" applyAlignment="1"/>
    <xf numFmtId="0" fontId="11" fillId="24" borderId="10" xfId="0" applyFont="1" applyFill="1" applyBorder="1" applyProtection="1">
      <protection locked="0"/>
    </xf>
    <xf numFmtId="0" fontId="11" fillId="24" borderId="10" xfId="0" applyFont="1" applyFill="1" applyBorder="1"/>
    <xf numFmtId="165" fontId="0" fillId="0" borderId="35" xfId="47" applyNumberFormat="1" applyFont="1" applyBorder="1" applyProtection="1">
      <protection locked="0"/>
    </xf>
    <xf numFmtId="165" fontId="0" fillId="0" borderId="21" xfId="47" applyNumberFormat="1" applyFont="1" applyBorder="1" applyProtection="1">
      <protection locked="0"/>
    </xf>
    <xf numFmtId="165" fontId="0" fillId="0" borderId="24" xfId="47" applyNumberFormat="1" applyFont="1" applyBorder="1" applyProtection="1">
      <protection locked="0"/>
    </xf>
    <xf numFmtId="0" fontId="0" fillId="0" borderId="35" xfId="0" applyBorder="1" applyProtection="1">
      <protection locked="0"/>
    </xf>
    <xf numFmtId="165" fontId="0" fillId="0" borderId="26" xfId="47" applyNumberFormat="1" applyFont="1" applyBorder="1" applyProtection="1">
      <protection locked="0"/>
    </xf>
    <xf numFmtId="165" fontId="0" fillId="0" borderId="43" xfId="0" applyNumberFormat="1" applyBorder="1" applyAlignment="1" applyProtection="1">
      <alignment horizontal="center" vertical="center"/>
      <protection locked="0"/>
    </xf>
    <xf numFmtId="0" fontId="0" fillId="0" borderId="41" xfId="0" applyBorder="1" applyProtection="1">
      <protection locked="0"/>
    </xf>
    <xf numFmtId="165" fontId="0" fillId="0" borderId="10" xfId="47" applyNumberFormat="1" applyFont="1" applyBorder="1"/>
    <xf numFmtId="0" fontId="0" fillId="0" borderId="49" xfId="0" applyBorder="1"/>
    <xf numFmtId="0" fontId="0" fillId="0" borderId="50" xfId="0" applyBorder="1"/>
    <xf numFmtId="165" fontId="0" fillId="0" borderId="42" xfId="0" applyNumberFormat="1" applyBorder="1"/>
    <xf numFmtId="165" fontId="0" fillId="0" borderId="35" xfId="0" applyNumberFormat="1" applyBorder="1"/>
    <xf numFmtId="0" fontId="34" fillId="0" borderId="49" xfId="48" applyFont="1" applyFill="1" applyBorder="1" applyAlignment="1">
      <alignment horizontal="right" wrapText="1"/>
    </xf>
    <xf numFmtId="0" fontId="34" fillId="0" borderId="50" xfId="48" applyFont="1" applyFill="1" applyBorder="1" applyAlignment="1">
      <alignment horizontal="right" wrapText="1"/>
    </xf>
    <xf numFmtId="165" fontId="0" fillId="0" borderId="24" xfId="47" applyNumberFormat="1" applyFont="1" applyBorder="1"/>
    <xf numFmtId="0" fontId="0" fillId="0" borderId="48" xfId="0" applyBorder="1"/>
    <xf numFmtId="165" fontId="0" fillId="0" borderId="21" xfId="47" applyNumberFormat="1" applyFont="1" applyBorder="1"/>
    <xf numFmtId="0" fontId="34" fillId="0" borderId="48" xfId="48" applyFont="1" applyFill="1" applyBorder="1" applyAlignment="1">
      <alignment horizontal="right" wrapText="1"/>
    </xf>
    <xf numFmtId="0" fontId="0" fillId="0" borderId="57" xfId="0" applyBorder="1"/>
    <xf numFmtId="165" fontId="0" fillId="0" borderId="26" xfId="47" applyNumberFormat="1" applyFont="1" applyBorder="1"/>
    <xf numFmtId="165" fontId="0" fillId="0" borderId="43" xfId="0" applyNumberFormat="1" applyBorder="1"/>
    <xf numFmtId="0" fontId="34" fillId="0" borderId="57" xfId="48" applyFont="1" applyFill="1" applyBorder="1" applyAlignment="1">
      <alignment horizontal="right" wrapText="1"/>
    </xf>
    <xf numFmtId="0" fontId="0" fillId="0" borderId="47" xfId="0" applyBorder="1"/>
    <xf numFmtId="165" fontId="0" fillId="0" borderId="56" xfId="0" applyNumberFormat="1" applyBorder="1"/>
    <xf numFmtId="0" fontId="0" fillId="0" borderId="43" xfId="0" applyBorder="1"/>
    <xf numFmtId="0" fontId="0" fillId="32" borderId="0" xfId="0" applyFill="1"/>
    <xf numFmtId="0" fontId="6" fillId="0" borderId="13" xfId="45" applyFont="1" applyFill="1" applyBorder="1" applyAlignment="1">
      <alignment horizontal="right" wrapText="1"/>
    </xf>
    <xf numFmtId="0" fontId="34" fillId="0" borderId="60" xfId="48" applyFont="1" applyFill="1" applyBorder="1" applyAlignment="1">
      <alignment horizontal="right" wrapText="1"/>
    </xf>
    <xf numFmtId="0" fontId="6" fillId="0" borderId="12" xfId="45" applyFont="1" applyFill="1" applyBorder="1" applyAlignment="1">
      <alignment horizontal="right" wrapText="1"/>
    </xf>
    <xf numFmtId="0" fontId="6" fillId="0" borderId="35" xfId="45" applyFont="1" applyFill="1" applyBorder="1" applyAlignment="1">
      <alignment horizontal="right" wrapText="1"/>
    </xf>
    <xf numFmtId="0" fontId="6" fillId="0" borderId="21" xfId="45" applyFont="1" applyFill="1" applyBorder="1" applyAlignment="1">
      <alignment horizontal="right" wrapText="1"/>
    </xf>
    <xf numFmtId="0" fontId="6" fillId="0" borderId="24" xfId="45" applyFont="1" applyFill="1" applyBorder="1" applyAlignment="1">
      <alignment horizontal="right" wrapText="1"/>
    </xf>
    <xf numFmtId="0" fontId="6" fillId="0" borderId="26" xfId="45" applyFont="1" applyFill="1" applyBorder="1" applyAlignment="1">
      <alignment horizontal="right" wrapText="1"/>
    </xf>
    <xf numFmtId="0" fontId="0" fillId="0" borderId="61" xfId="0" applyBorder="1"/>
    <xf numFmtId="0" fontId="0" fillId="0" borderId="13" xfId="0" applyBorder="1"/>
    <xf numFmtId="0" fontId="6" fillId="0" borderId="59" xfId="45" applyFont="1" applyFill="1" applyBorder="1" applyAlignment="1">
      <alignment horizontal="right" wrapText="1"/>
    </xf>
    <xf numFmtId="0" fontId="0" fillId="0" borderId="59" xfId="0" applyBorder="1"/>
    <xf numFmtId="9" fontId="0" fillId="0" borderId="38" xfId="0" applyNumberFormat="1" applyBorder="1" applyProtection="1">
      <protection locked="0"/>
    </xf>
    <xf numFmtId="1" fontId="0" fillId="0" borderId="49" xfId="0" applyNumberFormat="1" applyBorder="1" applyProtection="1">
      <protection locked="0"/>
    </xf>
    <xf numFmtId="1" fontId="0" fillId="0" borderId="49" xfId="0" applyNumberFormat="1" applyBorder="1" applyAlignment="1"/>
    <xf numFmtId="9" fontId="0" fillId="0" borderId="38" xfId="0" applyNumberFormat="1" applyFill="1" applyBorder="1"/>
    <xf numFmtId="0" fontId="0" fillId="24" borderId="42" xfId="0" applyFill="1" applyBorder="1"/>
    <xf numFmtId="9" fontId="0" fillId="0" borderId="38" xfId="0" applyNumberFormat="1" applyFill="1" applyBorder="1" applyProtection="1">
      <protection locked="0"/>
    </xf>
    <xf numFmtId="0" fontId="0" fillId="24" borderId="42" xfId="0" applyFill="1" applyBorder="1" applyProtection="1">
      <protection locked="0"/>
    </xf>
    <xf numFmtId="1" fontId="0" fillId="0" borderId="49" xfId="0" applyNumberFormat="1" applyBorder="1"/>
    <xf numFmtId="9" fontId="0" fillId="0" borderId="38" xfId="0" applyNumberFormat="1" applyBorder="1"/>
    <xf numFmtId="1" fontId="0" fillId="0" borderId="49" xfId="0" applyNumberFormat="1" applyFill="1" applyBorder="1" applyAlignment="1" applyProtection="1">
      <protection locked="0"/>
    </xf>
    <xf numFmtId="9" fontId="36" fillId="26" borderId="10" xfId="38" applyNumberFormat="1" applyFont="1" applyFill="1" applyBorder="1" applyAlignment="1" applyProtection="1">
      <protection locked="0"/>
    </xf>
    <xf numFmtId="167" fontId="0" fillId="0" borderId="10" xfId="0" applyNumberFormat="1" applyBorder="1"/>
    <xf numFmtId="0" fontId="29" fillId="26" borderId="10" xfId="0" applyFont="1" applyFill="1" applyBorder="1" applyAlignment="1">
      <alignment horizontal="center"/>
    </xf>
    <xf numFmtId="0" fontId="24" fillId="25" borderId="11" xfId="0" applyFont="1" applyFill="1" applyBorder="1" applyAlignment="1" applyProtection="1">
      <alignment horizontal="center"/>
      <protection locked="0"/>
    </xf>
    <xf numFmtId="0" fontId="6" fillId="0" borderId="7" xfId="45" applyFont="1" applyFill="1" applyBorder="1" applyAlignment="1">
      <alignment wrapText="1"/>
    </xf>
    <xf numFmtId="0" fontId="6" fillId="0" borderId="7" xfId="45" applyFont="1" applyFill="1" applyBorder="1" applyAlignment="1">
      <alignment horizontal="right" wrapText="1"/>
    </xf>
    <xf numFmtId="9" fontId="0" fillId="0" borderId="10" xfId="47" applyFont="1" applyBorder="1" applyProtection="1">
      <protection locked="0"/>
    </xf>
    <xf numFmtId="9" fontId="0" fillId="0" borderId="0" xfId="47" applyFont="1" applyProtection="1">
      <protection locked="0"/>
    </xf>
    <xf numFmtId="0" fontId="27" fillId="34" borderId="10" xfId="42" applyFont="1" applyFill="1" applyBorder="1" applyAlignment="1" applyProtection="1">
      <alignment wrapText="1"/>
      <protection locked="0"/>
    </xf>
    <xf numFmtId="165" fontId="39" fillId="0" borderId="0" xfId="47" applyNumberFormat="1" applyFont="1"/>
    <xf numFmtId="0" fontId="39" fillId="0" borderId="66" xfId="0" applyFont="1" applyBorder="1"/>
    <xf numFmtId="0" fontId="6" fillId="0" borderId="7" xfId="42" applyFont="1" applyFill="1" applyBorder="1" applyAlignment="1">
      <alignment horizontal="right" wrapText="1"/>
    </xf>
    <xf numFmtId="0" fontId="6" fillId="0" borderId="7" xfId="42" applyFont="1" applyFill="1" applyBorder="1" applyAlignment="1">
      <alignment wrapText="1"/>
    </xf>
    <xf numFmtId="0" fontId="6" fillId="28" borderId="36" xfId="42" applyFont="1" applyFill="1" applyBorder="1" applyAlignment="1">
      <alignment horizontal="center" wrapText="1"/>
    </xf>
    <xf numFmtId="165" fontId="6" fillId="0" borderId="7" xfId="47" applyNumberFormat="1" applyFont="1" applyFill="1" applyBorder="1" applyAlignment="1">
      <alignment wrapText="1"/>
    </xf>
    <xf numFmtId="165" fontId="6" fillId="0" borderId="7" xfId="47" applyNumberFormat="1" applyFont="1" applyFill="1" applyBorder="1" applyAlignment="1">
      <alignment horizontal="right" wrapText="1"/>
    </xf>
    <xf numFmtId="0" fontId="6" fillId="0" borderId="64" xfId="45" applyFont="1" applyFill="1" applyBorder="1" applyAlignment="1">
      <alignment wrapText="1"/>
    </xf>
    <xf numFmtId="0" fontId="6" fillId="0" borderId="64" xfId="45" applyFont="1" applyFill="1" applyBorder="1" applyAlignment="1">
      <alignment horizontal="right" wrapText="1"/>
    </xf>
    <xf numFmtId="165" fontId="6" fillId="0" borderId="64" xfId="47" applyNumberFormat="1" applyFont="1" applyFill="1" applyBorder="1" applyAlignment="1">
      <alignment horizontal="right" wrapText="1"/>
    </xf>
    <xf numFmtId="0" fontId="6" fillId="0" borderId="65" xfId="45" applyFont="1" applyFill="1" applyBorder="1" applyAlignment="1">
      <alignment wrapText="1"/>
    </xf>
    <xf numFmtId="0" fontId="6" fillId="0" borderId="68" xfId="45" applyFont="1" applyFill="1" applyBorder="1" applyAlignment="1">
      <alignment horizontal="right" wrapText="1"/>
    </xf>
    <xf numFmtId="165" fontId="6" fillId="0" borderId="68" xfId="47" applyNumberFormat="1" applyFont="1" applyFill="1" applyBorder="1" applyAlignment="1">
      <alignment horizontal="right" wrapText="1"/>
    </xf>
    <xf numFmtId="0" fontId="0" fillId="0" borderId="67" xfId="0" applyBorder="1"/>
    <xf numFmtId="0" fontId="6" fillId="28" borderId="36" xfId="45" applyFont="1" applyFill="1" applyBorder="1" applyAlignment="1">
      <alignment horizontal="center" wrapText="1"/>
    </xf>
    <xf numFmtId="0" fontId="41" fillId="0" borderId="0" xfId="0" applyFont="1"/>
    <xf numFmtId="0" fontId="40" fillId="0" borderId="0" xfId="0" applyFont="1"/>
    <xf numFmtId="0" fontId="42" fillId="7" borderId="1" xfId="34" applyFont="1"/>
    <xf numFmtId="0" fontId="43" fillId="28" borderId="36" xfId="45" applyFont="1" applyFill="1" applyBorder="1" applyAlignment="1">
      <alignment horizontal="center"/>
    </xf>
    <xf numFmtId="0" fontId="44" fillId="20" borderId="8" xfId="38" applyFont="1" applyAlignment="1">
      <alignment horizontal="center"/>
    </xf>
    <xf numFmtId="0" fontId="43" fillId="28" borderId="0" xfId="45" applyFont="1" applyFill="1" applyBorder="1" applyAlignment="1">
      <alignment horizontal="center"/>
    </xf>
    <xf numFmtId="0" fontId="43" fillId="0" borderId="7" xfId="45" applyFont="1" applyFill="1" applyBorder="1" applyAlignment="1">
      <alignment wrapText="1"/>
    </xf>
    <xf numFmtId="0" fontId="43" fillId="0" borderId="7" xfId="45" applyFont="1" applyFill="1" applyBorder="1" applyAlignment="1">
      <alignment horizontal="right" wrapText="1"/>
    </xf>
    <xf numFmtId="0" fontId="43" fillId="0" borderId="64" xfId="45" applyFont="1" applyFill="1" applyBorder="1" applyAlignment="1">
      <alignment wrapText="1"/>
    </xf>
    <xf numFmtId="0" fontId="43" fillId="0" borderId="64" xfId="45" applyFont="1" applyFill="1" applyBorder="1" applyAlignment="1">
      <alignment horizontal="right" wrapText="1"/>
    </xf>
    <xf numFmtId="0" fontId="43" fillId="0" borderId="65" xfId="45" applyFont="1" applyFill="1" applyBorder="1" applyAlignment="1">
      <alignment wrapText="1"/>
    </xf>
    <xf numFmtId="0" fontId="40" fillId="0" borderId="67" xfId="0" applyFont="1" applyBorder="1"/>
    <xf numFmtId="0" fontId="42" fillId="7" borderId="1" xfId="34" applyFont="1" applyAlignment="1">
      <alignment wrapText="1"/>
    </xf>
    <xf numFmtId="0" fontId="43" fillId="28" borderId="36" xfId="57" applyFont="1" applyFill="1" applyBorder="1" applyAlignment="1">
      <alignment horizontal="center"/>
    </xf>
    <xf numFmtId="0" fontId="43" fillId="0" borderId="7" xfId="57" applyFont="1" applyFill="1" applyBorder="1" applyAlignment="1">
      <alignment wrapText="1"/>
    </xf>
    <xf numFmtId="0" fontId="43" fillId="0" borderId="7" xfId="57" applyFont="1" applyFill="1" applyBorder="1" applyAlignment="1">
      <alignment horizontal="right" wrapText="1"/>
    </xf>
    <xf numFmtId="0" fontId="43" fillId="0" borderId="64" xfId="57" applyFont="1" applyFill="1" applyBorder="1" applyAlignment="1">
      <alignment wrapText="1"/>
    </xf>
    <xf numFmtId="0" fontId="43" fillId="0" borderId="64" xfId="57" applyFont="1" applyFill="1" applyBorder="1" applyAlignment="1">
      <alignment horizontal="right" wrapText="1"/>
    </xf>
    <xf numFmtId="0" fontId="43" fillId="0" borderId="65" xfId="57" applyFont="1" applyFill="1" applyBorder="1" applyAlignment="1">
      <alignment wrapText="1"/>
    </xf>
    <xf numFmtId="0" fontId="43" fillId="28" borderId="36" xfId="58" applyFont="1" applyFill="1" applyBorder="1" applyAlignment="1">
      <alignment horizontal="center"/>
    </xf>
    <xf numFmtId="0" fontId="43" fillId="0" borderId="7" xfId="58" applyFont="1" applyFill="1" applyBorder="1" applyAlignment="1">
      <alignment wrapText="1"/>
    </xf>
    <xf numFmtId="0" fontId="43" fillId="0" borderId="7" xfId="58" applyFont="1" applyFill="1" applyBorder="1" applyAlignment="1">
      <alignment horizontal="right" wrapText="1"/>
    </xf>
    <xf numFmtId="0" fontId="43" fillId="0" borderId="64" xfId="58" applyFont="1" applyFill="1" applyBorder="1" applyAlignment="1">
      <alignment wrapText="1"/>
    </xf>
    <xf numFmtId="0" fontId="43" fillId="0" borderId="64" xfId="58" applyFont="1" applyFill="1" applyBorder="1" applyAlignment="1">
      <alignment horizontal="right" wrapText="1"/>
    </xf>
    <xf numFmtId="0" fontId="43" fillId="0" borderId="65" xfId="58" applyFont="1" applyFill="1" applyBorder="1" applyAlignment="1">
      <alignment wrapText="1"/>
    </xf>
    <xf numFmtId="0" fontId="39" fillId="0" borderId="25" xfId="0" applyFont="1" applyBorder="1"/>
    <xf numFmtId="0" fontId="39" fillId="0" borderId="67" xfId="0" applyFont="1" applyBorder="1"/>
    <xf numFmtId="0" fontId="39" fillId="0" borderId="0" xfId="0" applyFont="1"/>
    <xf numFmtId="165" fontId="39" fillId="0" borderId="0" xfId="0" applyNumberFormat="1" applyFont="1"/>
    <xf numFmtId="172" fontId="0" fillId="0" borderId="0" xfId="0" applyNumberFormat="1" applyProtection="1">
      <protection locked="0"/>
    </xf>
    <xf numFmtId="0" fontId="27" fillId="35" borderId="10" xfId="42" applyFont="1" applyFill="1" applyBorder="1" applyAlignment="1" applyProtection="1">
      <alignment wrapText="1"/>
      <protection locked="0"/>
    </xf>
    <xf numFmtId="165" fontId="0" fillId="0" borderId="0" xfId="47" applyNumberFormat="1" applyFont="1" applyProtection="1">
      <protection locked="0"/>
    </xf>
    <xf numFmtId="0" fontId="34" fillId="0" borderId="0" xfId="48" applyFont="1" applyFill="1" applyBorder="1" applyAlignment="1">
      <alignment horizontal="left" wrapText="1"/>
    </xf>
    <xf numFmtId="0" fontId="34" fillId="0" borderId="0" xfId="48" applyFont="1" applyFill="1" applyBorder="1" applyAlignment="1">
      <alignment horizontal="center"/>
    </xf>
    <xf numFmtId="0" fontId="24" fillId="25" borderId="70" xfId="0" applyFont="1" applyFill="1" applyBorder="1" applyAlignment="1" applyProtection="1">
      <alignment horizontal="center"/>
      <protection locked="0"/>
    </xf>
    <xf numFmtId="0" fontId="24" fillId="25" borderId="71" xfId="0" applyFont="1" applyFill="1" applyBorder="1" applyAlignment="1" applyProtection="1">
      <alignment horizontal="center"/>
      <protection locked="0"/>
    </xf>
    <xf numFmtId="9" fontId="36" fillId="26" borderId="70" xfId="38" applyNumberFormat="1" applyFont="1" applyFill="1" applyBorder="1" applyAlignment="1" applyProtection="1">
      <alignment horizontal="center"/>
      <protection locked="0"/>
    </xf>
    <xf numFmtId="0" fontId="0" fillId="35" borderId="10" xfId="0" applyFill="1" applyBorder="1" applyProtection="1">
      <protection locked="0"/>
    </xf>
    <xf numFmtId="0" fontId="27" fillId="36" borderId="10" xfId="42" applyFont="1" applyFill="1" applyBorder="1" applyAlignment="1" applyProtection="1">
      <alignment wrapText="1"/>
      <protection locked="0"/>
    </xf>
    <xf numFmtId="0" fontId="0" fillId="0" borderId="12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6" fillId="0" borderId="10" xfId="60" applyFont="1" applyFill="1" applyBorder="1" applyAlignment="1">
      <alignment horizontal="right" wrapText="1"/>
    </xf>
    <xf numFmtId="0" fontId="14" fillId="0" borderId="3" xfId="30" applyProtection="1">
      <protection locked="0"/>
    </xf>
    <xf numFmtId="0" fontId="40" fillId="0" borderId="49" xfId="0" applyFont="1" applyBorder="1" applyProtection="1">
      <protection locked="0"/>
    </xf>
    <xf numFmtId="9" fontId="40" fillId="0" borderId="38" xfId="0" applyNumberFormat="1" applyFont="1" applyBorder="1" applyProtection="1">
      <protection locked="0"/>
    </xf>
    <xf numFmtId="1" fontId="40" fillId="0" borderId="49" xfId="0" applyNumberFormat="1" applyFont="1" applyBorder="1" applyProtection="1">
      <protection locked="0"/>
    </xf>
    <xf numFmtId="0" fontId="43" fillId="0" borderId="49" xfId="45" applyFont="1" applyFill="1" applyBorder="1" applyAlignment="1">
      <alignment horizontal="right" wrapText="1"/>
    </xf>
    <xf numFmtId="0" fontId="40" fillId="27" borderId="42" xfId="0" applyFont="1" applyFill="1" applyBorder="1" applyProtection="1">
      <protection locked="0"/>
    </xf>
    <xf numFmtId="1" fontId="40" fillId="0" borderId="49" xfId="0" applyNumberFormat="1" applyFont="1" applyBorder="1" applyAlignment="1"/>
    <xf numFmtId="9" fontId="40" fillId="0" borderId="38" xfId="0" applyNumberFormat="1" applyFont="1" applyFill="1" applyBorder="1"/>
    <xf numFmtId="1" fontId="40" fillId="0" borderId="49" xfId="0" applyNumberFormat="1" applyFont="1" applyFill="1" applyBorder="1" applyAlignment="1" applyProtection="1">
      <alignment horizontal="right"/>
      <protection locked="0"/>
    </xf>
    <xf numFmtId="9" fontId="40" fillId="0" borderId="38" xfId="0" applyNumberFormat="1" applyFont="1" applyFill="1" applyBorder="1" applyProtection="1">
      <protection locked="0"/>
    </xf>
    <xf numFmtId="0" fontId="40" fillId="24" borderId="42" xfId="0" applyFont="1" applyFill="1" applyBorder="1"/>
    <xf numFmtId="0" fontId="40" fillId="24" borderId="42" xfId="0" applyFont="1" applyFill="1" applyBorder="1" applyProtection="1">
      <protection locked="0"/>
    </xf>
    <xf numFmtId="0" fontId="0" fillId="37" borderId="10" xfId="0" applyFill="1" applyBorder="1" applyProtection="1">
      <protection locked="0"/>
    </xf>
    <xf numFmtId="0" fontId="27" fillId="37" borderId="10" xfId="42" applyFont="1" applyFill="1" applyBorder="1" applyAlignment="1" applyProtection="1">
      <alignment wrapText="1"/>
      <protection locked="0"/>
    </xf>
    <xf numFmtId="9" fontId="0" fillId="37" borderId="10" xfId="0" applyNumberFormat="1" applyFill="1" applyBorder="1" applyProtection="1">
      <protection locked="0"/>
    </xf>
    <xf numFmtId="0" fontId="13" fillId="4" borderId="10" xfId="29" applyBorder="1" applyProtection="1">
      <protection locked="0"/>
    </xf>
    <xf numFmtId="0" fontId="13" fillId="4" borderId="35" xfId="29" applyBorder="1" applyAlignment="1" applyProtection="1">
      <protection locked="0"/>
    </xf>
    <xf numFmtId="9" fontId="13" fillId="4" borderId="72" xfId="29" applyNumberFormat="1" applyBorder="1" applyProtection="1">
      <protection locked="0"/>
    </xf>
    <xf numFmtId="9" fontId="13" fillId="4" borderId="69" xfId="29" applyNumberFormat="1" applyBorder="1" applyProtection="1">
      <protection locked="0"/>
    </xf>
    <xf numFmtId="0" fontId="13" fillId="4" borderId="10" xfId="29" applyBorder="1" applyAlignment="1" applyProtection="1">
      <alignment wrapText="1"/>
      <protection locked="0"/>
    </xf>
    <xf numFmtId="9" fontId="13" fillId="4" borderId="10" xfId="29" applyNumberFormat="1" applyBorder="1" applyProtection="1">
      <protection locked="0"/>
    </xf>
    <xf numFmtId="1" fontId="25" fillId="0" borderId="10" xfId="0" applyNumberFormat="1" applyFont="1" applyBorder="1" applyAlignment="1" applyProtection="1">
      <protection locked="0"/>
    </xf>
    <xf numFmtId="9" fontId="11" fillId="0" borderId="10" xfId="47" applyFont="1" applyBorder="1" applyProtection="1">
      <protection locked="0"/>
    </xf>
    <xf numFmtId="0" fontId="17" fillId="7" borderId="74" xfId="34" applyBorder="1" applyProtection="1">
      <protection locked="0"/>
    </xf>
    <xf numFmtId="172" fontId="0" fillId="0" borderId="10" xfId="0" applyNumberFormat="1" applyBorder="1" applyProtection="1">
      <protection locked="0"/>
    </xf>
    <xf numFmtId="172" fontId="0" fillId="0" borderId="0" xfId="47" applyNumberFormat="1" applyFont="1" applyProtection="1">
      <protection locked="0"/>
    </xf>
    <xf numFmtId="0" fontId="43" fillId="0" borderId="0" xfId="58" applyFont="1" applyFill="1" applyBorder="1" applyAlignment="1">
      <alignment wrapText="1"/>
    </xf>
    <xf numFmtId="0" fontId="39" fillId="0" borderId="0" xfId="0" applyFont="1" applyBorder="1"/>
    <xf numFmtId="0" fontId="40" fillId="0" borderId="0" xfId="0" applyFont="1" applyBorder="1"/>
    <xf numFmtId="0" fontId="43" fillId="0" borderId="0" xfId="45" applyFont="1" applyFill="1" applyBorder="1" applyAlignment="1">
      <alignment wrapText="1"/>
    </xf>
    <xf numFmtId="0" fontId="43" fillId="0" borderId="25" xfId="45" applyFont="1" applyFill="1" applyBorder="1" applyAlignment="1">
      <alignment wrapText="1"/>
    </xf>
    <xf numFmtId="0" fontId="43" fillId="0" borderId="75" xfId="57" applyFont="1" applyFill="1" applyBorder="1" applyAlignment="1">
      <alignment wrapText="1"/>
    </xf>
    <xf numFmtId="0" fontId="43" fillId="0" borderId="0" xfId="57" applyFont="1" applyFill="1" applyBorder="1" applyAlignment="1">
      <alignment horizontal="right" wrapText="1"/>
    </xf>
    <xf numFmtId="0" fontId="43" fillId="0" borderId="25" xfId="58" applyFont="1" applyFill="1" applyBorder="1" applyAlignment="1">
      <alignment wrapText="1"/>
    </xf>
    <xf numFmtId="0" fontId="40" fillId="0" borderId="25" xfId="0" applyFont="1" applyBorder="1"/>
    <xf numFmtId="9" fontId="0" fillId="0" borderId="0" xfId="0" applyNumberFormat="1" applyProtection="1">
      <protection locked="0"/>
    </xf>
    <xf numFmtId="0" fontId="24" fillId="25" borderId="11" xfId="0" applyFont="1" applyFill="1" applyBorder="1" applyAlignment="1" applyProtection="1">
      <alignment horizontal="center"/>
      <protection locked="0"/>
    </xf>
    <xf numFmtId="0" fontId="24" fillId="25" borderId="15" xfId="0" applyFont="1" applyFill="1" applyBorder="1" applyAlignment="1" applyProtection="1">
      <alignment horizontal="center"/>
      <protection locked="0"/>
    </xf>
    <xf numFmtId="0" fontId="24" fillId="25" borderId="0" xfId="0" applyFont="1" applyFill="1" applyBorder="1" applyAlignment="1" applyProtection="1">
      <alignment horizontal="center"/>
      <protection locked="0"/>
    </xf>
    <xf numFmtId="0" fontId="17" fillId="7" borderId="1" xfId="34" applyAlignment="1" applyProtection="1">
      <alignment wrapText="1"/>
      <protection locked="0"/>
    </xf>
    <xf numFmtId="0" fontId="17" fillId="7" borderId="76" xfId="34" applyBorder="1" applyAlignment="1" applyProtection="1">
      <alignment wrapText="1"/>
      <protection locked="0"/>
    </xf>
    <xf numFmtId="0" fontId="6" fillId="0" borderId="77" xfId="62" applyFont="1" applyFill="1" applyBorder="1" applyAlignment="1">
      <alignment horizontal="right" wrapText="1"/>
    </xf>
    <xf numFmtId="0" fontId="11" fillId="0" borderId="10" xfId="42" applyFont="1" applyFill="1" applyBorder="1" applyAlignment="1" applyProtection="1">
      <alignment wrapText="1"/>
      <protection locked="0"/>
    </xf>
    <xf numFmtId="1" fontId="11" fillId="0" borderId="10" xfId="0" applyNumberFormat="1" applyFont="1" applyBorder="1" applyAlignment="1" applyProtection="1">
      <protection locked="0"/>
    </xf>
    <xf numFmtId="0" fontId="0" fillId="0" borderId="0" xfId="0" applyNumberFormat="1"/>
    <xf numFmtId="0" fontId="29" fillId="26" borderId="10" xfId="0" applyFont="1" applyFill="1" applyBorder="1" applyAlignment="1">
      <alignment horizontal="center"/>
    </xf>
    <xf numFmtId="1" fontId="25" fillId="27" borderId="10" xfId="0" applyNumberFormat="1" applyFont="1" applyFill="1" applyBorder="1" applyProtection="1">
      <protection locked="0"/>
    </xf>
    <xf numFmtId="1" fontId="25" fillId="27" borderId="50" xfId="0" applyNumberFormat="1" applyFont="1" applyFill="1" applyBorder="1"/>
    <xf numFmtId="1" fontId="25" fillId="27" borderId="50" xfId="0" applyNumberFormat="1" applyFont="1" applyFill="1" applyBorder="1" applyProtection="1">
      <protection locked="0"/>
    </xf>
    <xf numFmtId="0" fontId="0" fillId="27" borderId="42" xfId="0" applyFill="1" applyBorder="1"/>
    <xf numFmtId="0" fontId="0" fillId="27" borderId="42" xfId="0" applyFill="1" applyBorder="1" applyProtection="1">
      <protection locked="0"/>
    </xf>
    <xf numFmtId="0" fontId="50" fillId="27" borderId="49" xfId="25" applyFont="1" applyFill="1" applyBorder="1" applyProtection="1">
      <protection locked="0"/>
    </xf>
    <xf numFmtId="9" fontId="50" fillId="27" borderId="38" xfId="25" applyNumberFormat="1" applyFont="1" applyFill="1" applyBorder="1" applyProtection="1">
      <protection locked="0"/>
    </xf>
    <xf numFmtId="0" fontId="47" fillId="27" borderId="50" xfId="0" applyFont="1" applyFill="1" applyBorder="1" applyProtection="1">
      <protection locked="0"/>
    </xf>
    <xf numFmtId="1" fontId="47" fillId="27" borderId="50" xfId="0" applyNumberFormat="1" applyFont="1" applyFill="1" applyBorder="1"/>
    <xf numFmtId="1" fontId="47" fillId="27" borderId="50" xfId="0" applyNumberFormat="1" applyFont="1" applyFill="1" applyBorder="1" applyProtection="1">
      <protection locked="0"/>
    </xf>
    <xf numFmtId="1" fontId="11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3" fontId="25" fillId="0" borderId="13" xfId="0" applyNumberFormat="1" applyFont="1" applyBorder="1" applyAlignment="1" applyProtection="1">
      <protection locked="0"/>
    </xf>
    <xf numFmtId="1" fontId="0" fillId="0" borderId="0" xfId="0" applyNumberFormat="1"/>
    <xf numFmtId="0" fontId="0" fillId="35" borderId="0" xfId="0" applyFill="1" applyProtection="1">
      <protection locked="0"/>
    </xf>
    <xf numFmtId="1" fontId="0" fillId="35" borderId="10" xfId="0" applyNumberFormat="1" applyFill="1" applyBorder="1" applyProtection="1">
      <protection locked="0"/>
    </xf>
    <xf numFmtId="0" fontId="25" fillId="35" borderId="0" xfId="0" applyFont="1" applyFill="1" applyProtection="1">
      <protection locked="0"/>
    </xf>
    <xf numFmtId="0" fontId="0" fillId="0" borderId="80" xfId="0" applyBorder="1"/>
    <xf numFmtId="165" fontId="0" fillId="0" borderId="19" xfId="47" applyNumberFormat="1" applyFont="1" applyBorder="1"/>
    <xf numFmtId="0" fontId="34" fillId="0" borderId="78" xfId="48" applyFont="1" applyFill="1" applyBorder="1" applyAlignment="1">
      <alignment horizontal="right" wrapText="1"/>
    </xf>
    <xf numFmtId="0" fontId="11" fillId="0" borderId="10" xfId="0" applyFont="1" applyBorder="1"/>
    <xf numFmtId="165" fontId="40" fillId="0" borderId="0" xfId="0" applyNumberFormat="1" applyFont="1"/>
    <xf numFmtId="0" fontId="0" fillId="0" borderId="35" xfId="0" applyBorder="1" applyAlignment="1" applyProtection="1">
      <protection locked="0"/>
    </xf>
    <xf numFmtId="165" fontId="0" fillId="0" borderId="53" xfId="0" applyNumberFormat="1" applyBorder="1" applyAlignment="1" applyProtection="1">
      <alignment horizontal="center" vertical="center"/>
      <protection locked="0"/>
    </xf>
    <xf numFmtId="165" fontId="0" fillId="0" borderId="38" xfId="0" applyNumberFormat="1" applyBorder="1" applyAlignment="1" applyProtection="1">
      <alignment horizontal="center" vertical="center"/>
      <protection locked="0"/>
    </xf>
    <xf numFmtId="165" fontId="0" fillId="0" borderId="42" xfId="0" applyNumberFormat="1" applyBorder="1" applyAlignment="1" applyProtection="1">
      <alignment horizontal="center" vertical="center"/>
      <protection locked="0"/>
    </xf>
    <xf numFmtId="0" fontId="6" fillId="0" borderId="48" xfId="45" applyFont="1" applyFill="1" applyBorder="1" applyAlignment="1">
      <alignment horizontal="left" wrapText="1"/>
    </xf>
    <xf numFmtId="0" fontId="6" fillId="0" borderId="21" xfId="45" applyFont="1" applyFill="1" applyBorder="1" applyAlignment="1">
      <alignment horizontal="left" wrapText="1"/>
    </xf>
    <xf numFmtId="0" fontId="6" fillId="0" borderId="49" xfId="45" applyFont="1" applyFill="1" applyBorder="1" applyAlignment="1">
      <alignment horizontal="left" wrapText="1"/>
    </xf>
    <xf numFmtId="0" fontId="6" fillId="0" borderId="10" xfId="45" applyFont="1" applyFill="1" applyBorder="1" applyAlignment="1">
      <alignment horizontal="left" wrapText="1"/>
    </xf>
    <xf numFmtId="0" fontId="6" fillId="0" borderId="57" xfId="45" applyFont="1" applyFill="1" applyBorder="1" applyAlignment="1">
      <alignment horizontal="left" wrapText="1"/>
    </xf>
    <xf numFmtId="0" fontId="6" fillId="0" borderId="26" xfId="45" applyFont="1" applyFill="1" applyBorder="1" applyAlignment="1">
      <alignment horizontal="left" wrapText="1"/>
    </xf>
    <xf numFmtId="0" fontId="34" fillId="0" borderId="50" xfId="48" applyFont="1" applyFill="1" applyBorder="1" applyAlignment="1">
      <alignment horizontal="left" wrapText="1"/>
    </xf>
    <xf numFmtId="0" fontId="34" fillId="0" borderId="24" xfId="48" applyFont="1" applyFill="1" applyBorder="1" applyAlignment="1">
      <alignment horizontal="left" wrapText="1"/>
    </xf>
    <xf numFmtId="0" fontId="6" fillId="0" borderId="49" xfId="45" quotePrefix="1" applyFont="1" applyFill="1" applyBorder="1" applyAlignment="1">
      <alignment horizontal="left" wrapText="1"/>
    </xf>
    <xf numFmtId="165" fontId="0" fillId="0" borderId="37" xfId="0" applyNumberFormat="1" applyBorder="1" applyAlignment="1" applyProtection="1">
      <alignment horizontal="center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0" fontId="6" fillId="0" borderId="50" xfId="45" applyFont="1" applyFill="1" applyBorder="1" applyAlignment="1">
      <alignment horizontal="left" wrapText="1"/>
    </xf>
    <xf numFmtId="0" fontId="6" fillId="0" borderId="24" xfId="45" applyFont="1" applyFill="1" applyBorder="1" applyAlignment="1">
      <alignment horizontal="left" wrapText="1"/>
    </xf>
    <xf numFmtId="0" fontId="6" fillId="0" borderId="45" xfId="45" applyFont="1" applyFill="1" applyBorder="1" applyAlignment="1">
      <alignment horizontal="left" wrapText="1"/>
    </xf>
    <xf numFmtId="0" fontId="6" fillId="0" borderId="35" xfId="45" applyFont="1" applyFill="1" applyBorder="1" applyAlignment="1">
      <alignment horizontal="left" wrapText="1"/>
    </xf>
    <xf numFmtId="0" fontId="34" fillId="0" borderId="49" xfId="48" applyFont="1" applyFill="1" applyBorder="1" applyAlignment="1">
      <alignment horizontal="left" wrapText="1"/>
    </xf>
    <xf numFmtId="0" fontId="34" fillId="0" borderId="10" xfId="48" applyFont="1" applyFill="1" applyBorder="1" applyAlignment="1">
      <alignment horizontal="left" wrapText="1"/>
    </xf>
    <xf numFmtId="0" fontId="6" fillId="0" borderId="10" xfId="45" quotePrefix="1" applyFont="1" applyFill="1" applyBorder="1" applyAlignment="1">
      <alignment horizontal="left" wrapText="1"/>
    </xf>
    <xf numFmtId="0" fontId="24" fillId="25" borderId="15" xfId="0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15" xfId="0" applyFont="1" applyFill="1" applyBorder="1" applyAlignment="1" applyProtection="1">
      <alignment horizontal="center"/>
      <protection locked="0"/>
    </xf>
    <xf numFmtId="0" fontId="24" fillId="25" borderId="0" xfId="0" applyFont="1" applyFill="1" applyBorder="1" applyAlignment="1" applyProtection="1">
      <alignment horizontal="center"/>
      <protection locked="0"/>
    </xf>
    <xf numFmtId="1" fontId="25" fillId="0" borderId="12" xfId="0" applyNumberFormat="1" applyFont="1" applyBorder="1" applyAlignment="1" applyProtection="1">
      <alignment horizontal="right"/>
      <protection locked="0"/>
    </xf>
    <xf numFmtId="1" fontId="25" fillId="0" borderId="13" xfId="0" applyNumberFormat="1" applyFont="1" applyBorder="1" applyAlignment="1" applyProtection="1">
      <alignment horizontal="right"/>
      <protection locked="0"/>
    </xf>
    <xf numFmtId="0" fontId="34" fillId="28" borderId="19" xfId="48" applyFont="1" applyFill="1" applyBorder="1" applyAlignment="1">
      <alignment horizontal="center"/>
    </xf>
    <xf numFmtId="1" fontId="25" fillId="0" borderId="12" xfId="0" applyNumberFormat="1" applyFont="1" applyBorder="1" applyAlignment="1">
      <alignment horizontal="right"/>
    </xf>
    <xf numFmtId="1" fontId="25" fillId="0" borderId="13" xfId="0" applyNumberFormat="1" applyFont="1" applyBorder="1" applyAlignment="1">
      <alignment horizontal="right"/>
    </xf>
    <xf numFmtId="0" fontId="24" fillId="25" borderId="10" xfId="0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28" fillId="0" borderId="10" xfId="0" applyNumberFormat="1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25" fillId="27" borderId="12" xfId="0" applyFont="1" applyFill="1" applyBorder="1" applyAlignment="1">
      <alignment horizontal="left"/>
    </xf>
    <xf numFmtId="0" fontId="25" fillId="27" borderId="14" xfId="0" applyFont="1" applyFill="1" applyBorder="1" applyAlignment="1">
      <alignment horizontal="left"/>
    </xf>
    <xf numFmtId="0" fontId="25" fillId="27" borderId="13" xfId="0" applyFont="1" applyFill="1" applyBorder="1" applyAlignment="1">
      <alignment horizontal="left"/>
    </xf>
    <xf numFmtId="0" fontId="24" fillId="25" borderId="11" xfId="0" applyFont="1" applyFill="1" applyBorder="1" applyAlignment="1">
      <alignment horizontal="center" wrapText="1"/>
    </xf>
    <xf numFmtId="0" fontId="24" fillId="25" borderId="16" xfId="0" applyFont="1" applyFill="1" applyBorder="1" applyAlignment="1">
      <alignment horizontal="center"/>
    </xf>
    <xf numFmtId="0" fontId="24" fillId="25" borderId="11" xfId="0" applyFont="1" applyFill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5" fillId="27" borderId="10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29" fillId="26" borderId="11" xfId="0" applyFont="1" applyFill="1" applyBorder="1" applyAlignment="1">
      <alignment horizontal="center"/>
    </xf>
    <xf numFmtId="0" fontId="0" fillId="27" borderId="12" xfId="0" applyFill="1" applyBorder="1" applyAlignment="1">
      <alignment horizontal="center"/>
    </xf>
    <xf numFmtId="0" fontId="0" fillId="27" borderId="14" xfId="0" applyFill="1" applyBorder="1" applyAlignment="1">
      <alignment horizontal="center"/>
    </xf>
    <xf numFmtId="0" fontId="0" fillId="27" borderId="13" xfId="0" applyFill="1" applyBorder="1" applyAlignment="1">
      <alignment horizontal="center"/>
    </xf>
    <xf numFmtId="1" fontId="11" fillId="0" borderId="12" xfId="0" applyNumberFormat="1" applyFont="1" applyBorder="1" applyAlignment="1">
      <alignment horizontal="left"/>
    </xf>
    <xf numFmtId="1" fontId="11" fillId="0" borderId="14" xfId="0" applyNumberFormat="1" applyFont="1" applyBorder="1" applyAlignment="1">
      <alignment horizontal="left"/>
    </xf>
    <xf numFmtId="1" fontId="11" fillId="0" borderId="13" xfId="0" applyNumberFormat="1" applyFont="1" applyBorder="1" applyAlignment="1">
      <alignment horizontal="left"/>
    </xf>
    <xf numFmtId="0" fontId="24" fillId="25" borderId="11" xfId="0" applyFont="1" applyFill="1" applyBorder="1" applyAlignment="1" applyProtection="1">
      <alignment horizontal="center"/>
      <protection locked="0"/>
    </xf>
    <xf numFmtId="0" fontId="25" fillId="27" borderId="10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left"/>
      <protection locked="0"/>
    </xf>
    <xf numFmtId="1" fontId="11" fillId="0" borderId="10" xfId="0" applyNumberFormat="1" applyFont="1" applyBorder="1" applyAlignment="1" applyProtection="1">
      <alignment horizontal="center"/>
      <protection locked="0"/>
    </xf>
    <xf numFmtId="0" fontId="25" fillId="27" borderId="12" xfId="0" applyFont="1" applyFill="1" applyBorder="1" applyAlignment="1" applyProtection="1">
      <alignment horizontal="left"/>
      <protection locked="0"/>
    </xf>
    <xf numFmtId="0" fontId="25" fillId="27" borderId="14" xfId="0" applyFont="1" applyFill="1" applyBorder="1" applyAlignment="1" applyProtection="1">
      <alignment horizontal="left"/>
      <protection locked="0"/>
    </xf>
    <xf numFmtId="0" fontId="25" fillId="27" borderId="13" xfId="0" applyFont="1" applyFill="1" applyBorder="1" applyAlignment="1" applyProtection="1">
      <alignment horizontal="left"/>
      <protection locked="0"/>
    </xf>
    <xf numFmtId="0" fontId="24" fillId="25" borderId="11" xfId="0" applyFont="1" applyFill="1" applyBorder="1" applyAlignment="1" applyProtection="1">
      <alignment horizontal="center" wrapText="1"/>
      <protection locked="0"/>
    </xf>
    <xf numFmtId="0" fontId="24" fillId="25" borderId="10" xfId="0" applyFont="1" applyFill="1" applyBorder="1" applyAlignment="1" applyProtection="1">
      <alignment horizontal="center"/>
      <protection locked="0"/>
    </xf>
    <xf numFmtId="0" fontId="24" fillId="25" borderId="16" xfId="0" applyFont="1" applyFill="1" applyBorder="1" applyAlignment="1" applyProtection="1">
      <alignment horizontal="center" wrapText="1"/>
      <protection locked="0"/>
    </xf>
    <xf numFmtId="0" fontId="24" fillId="25" borderId="14" xfId="0" applyFont="1" applyFill="1" applyBorder="1" applyAlignment="1" applyProtection="1">
      <alignment horizontal="center"/>
      <protection locked="0"/>
    </xf>
    <xf numFmtId="0" fontId="27" fillId="0" borderId="10" xfId="43" applyFont="1" applyFill="1" applyBorder="1" applyAlignment="1">
      <alignment horizontal="left" wrapText="1"/>
    </xf>
    <xf numFmtId="0" fontId="11" fillId="0" borderId="10" xfId="0" applyFont="1" applyFill="1" applyBorder="1" applyAlignment="1" applyProtection="1">
      <alignment horizontal="left"/>
      <protection locked="0"/>
    </xf>
    <xf numFmtId="0" fontId="29" fillId="26" borderId="11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24" fillId="25" borderId="16" xfId="0" applyFont="1" applyFill="1" applyBorder="1" applyAlignment="1" applyProtection="1">
      <alignment horizontal="center"/>
      <protection locked="0"/>
    </xf>
    <xf numFmtId="1" fontId="11" fillId="0" borderId="10" xfId="0" applyNumberFormat="1" applyFont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27" borderId="10" xfId="0" applyFont="1" applyFill="1" applyBorder="1" applyAlignment="1" applyProtection="1">
      <alignment horizontal="left"/>
      <protection locked="0"/>
    </xf>
    <xf numFmtId="0" fontId="34" fillId="0" borderId="21" xfId="48" applyFont="1" applyFill="1" applyBorder="1" applyAlignment="1">
      <alignment horizontal="left" wrapText="1"/>
    </xf>
    <xf numFmtId="0" fontId="0" fillId="27" borderId="10" xfId="0" applyFill="1" applyBorder="1" applyAlignment="1" applyProtection="1">
      <alignment horizontal="left"/>
      <protection locked="0"/>
    </xf>
    <xf numFmtId="0" fontId="10" fillId="21" borderId="2" xfId="27" applyAlignment="1" applyProtection="1">
      <alignment horizontal="center"/>
      <protection locked="0"/>
    </xf>
    <xf numFmtId="0" fontId="0" fillId="0" borderId="10" xfId="0" applyBorder="1" applyAlignment="1" applyProtection="1"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0" fontId="34" fillId="0" borderId="26" xfId="48" applyFont="1" applyFill="1" applyBorder="1" applyAlignment="1">
      <alignment horizontal="left" wrapText="1"/>
    </xf>
    <xf numFmtId="0" fontId="34" fillId="0" borderId="31" xfId="48" applyFont="1" applyFill="1" applyBorder="1" applyAlignment="1">
      <alignment horizontal="left" wrapText="1"/>
    </xf>
    <xf numFmtId="0" fontId="6" fillId="0" borderId="57" xfId="48" applyFont="1" applyFill="1" applyBorder="1" applyAlignment="1">
      <alignment horizontal="left" wrapText="1"/>
    </xf>
    <xf numFmtId="0" fontId="6" fillId="0" borderId="26" xfId="48" applyFont="1" applyFill="1" applyBorder="1" applyAlignment="1">
      <alignment horizontal="left" wrapText="1"/>
    </xf>
    <xf numFmtId="0" fontId="6" fillId="0" borderId="29" xfId="48" applyFont="1" applyFill="1" applyBorder="1" applyAlignment="1">
      <alignment horizontal="left" wrapText="1"/>
    </xf>
    <xf numFmtId="0" fontId="0" fillId="0" borderId="16" xfId="0" applyBorder="1" applyAlignment="1" applyProtection="1">
      <protection locked="0"/>
    </xf>
    <xf numFmtId="0" fontId="6" fillId="0" borderId="38" xfId="45" applyFont="1" applyFill="1" applyBorder="1" applyAlignment="1">
      <alignment horizontal="left" wrapText="1"/>
    </xf>
    <xf numFmtId="0" fontId="6" fillId="0" borderId="39" xfId="45" applyFont="1" applyFill="1" applyBorder="1" applyAlignment="1">
      <alignment horizontal="left" wrapText="1"/>
    </xf>
    <xf numFmtId="0" fontId="6" fillId="0" borderId="40" xfId="45" applyFont="1" applyFill="1" applyBorder="1" applyAlignment="1">
      <alignment horizontal="left" wrapText="1"/>
    </xf>
    <xf numFmtId="0" fontId="6" fillId="0" borderId="46" xfId="45" applyFont="1" applyFill="1" applyBorder="1" applyAlignment="1">
      <alignment horizontal="left" wrapText="1"/>
    </xf>
    <xf numFmtId="0" fontId="6" fillId="0" borderId="48" xfId="48" applyFont="1" applyFill="1" applyBorder="1" applyAlignment="1">
      <alignment horizontal="left" wrapText="1"/>
    </xf>
    <xf numFmtId="0" fontId="6" fillId="0" borderId="21" xfId="48" applyFont="1" applyFill="1" applyBorder="1" applyAlignment="1">
      <alignment horizontal="left" wrapText="1"/>
    </xf>
    <xf numFmtId="0" fontId="6" fillId="0" borderId="37" xfId="48" applyFont="1" applyFill="1" applyBorder="1" applyAlignment="1">
      <alignment horizontal="left" wrapText="1"/>
    </xf>
    <xf numFmtId="165" fontId="0" fillId="0" borderId="37" xfId="0" applyNumberFormat="1" applyBorder="1" applyAlignment="1">
      <alignment horizontal="center" vertical="center"/>
    </xf>
    <xf numFmtId="165" fontId="0" fillId="0" borderId="38" xfId="0" applyNumberFormat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0" fontId="6" fillId="0" borderId="49" xfId="48" applyFont="1" applyFill="1" applyBorder="1" applyAlignment="1">
      <alignment horizontal="left" wrapText="1"/>
    </xf>
    <xf numFmtId="0" fontId="6" fillId="0" borderId="10" xfId="48" applyFont="1" applyFill="1" applyBorder="1" applyAlignment="1">
      <alignment horizontal="left" wrapText="1"/>
    </xf>
    <xf numFmtId="0" fontId="6" fillId="0" borderId="38" xfId="48" applyFont="1" applyFill="1" applyBorder="1" applyAlignment="1">
      <alignment horizontal="left" wrapText="1"/>
    </xf>
    <xf numFmtId="0" fontId="6" fillId="0" borderId="50" xfId="48" applyFont="1" applyFill="1" applyBorder="1" applyAlignment="1">
      <alignment horizontal="left" wrapText="1"/>
    </xf>
    <xf numFmtId="0" fontId="6" fillId="0" borderId="24" xfId="48" applyFont="1" applyFill="1" applyBorder="1" applyAlignment="1">
      <alignment horizontal="left" wrapText="1"/>
    </xf>
    <xf numFmtId="0" fontId="6" fillId="0" borderId="42" xfId="48" applyFont="1" applyFill="1" applyBorder="1" applyAlignment="1">
      <alignment horizontal="left" wrapText="1"/>
    </xf>
    <xf numFmtId="0" fontId="6" fillId="28" borderId="19" xfId="48" applyFont="1" applyFill="1" applyBorder="1" applyAlignment="1">
      <alignment horizontal="center"/>
    </xf>
    <xf numFmtId="0" fontId="6" fillId="28" borderId="15" xfId="48" applyFont="1" applyFill="1" applyBorder="1" applyAlignment="1">
      <alignment horizontal="center"/>
    </xf>
    <xf numFmtId="0" fontId="6" fillId="28" borderId="0" xfId="48" applyFont="1" applyFill="1" applyBorder="1" applyAlignment="1">
      <alignment horizontal="center"/>
    </xf>
    <xf numFmtId="0" fontId="0" fillId="27" borderId="51" xfId="0" applyFill="1" applyBorder="1" applyAlignment="1">
      <alignment horizontal="center"/>
    </xf>
    <xf numFmtId="0" fontId="0" fillId="27" borderId="31" xfId="0" applyFill="1" applyBorder="1" applyAlignment="1">
      <alignment horizontal="center"/>
    </xf>
    <xf numFmtId="0" fontId="0" fillId="27" borderId="52" xfId="0" applyFill="1" applyBorder="1" applyAlignment="1">
      <alignment horizontal="center"/>
    </xf>
    <xf numFmtId="0" fontId="6" fillId="0" borderId="27" xfId="48" applyFont="1" applyFill="1" applyBorder="1" applyAlignment="1">
      <alignment horizontal="left" wrapText="1"/>
    </xf>
    <xf numFmtId="165" fontId="0" fillId="0" borderId="21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0" fontId="6" fillId="0" borderId="12" xfId="48" applyFont="1" applyFill="1" applyBorder="1" applyAlignment="1">
      <alignment horizontal="left" wrapText="1"/>
    </xf>
    <xf numFmtId="0" fontId="6" fillId="0" borderId="28" xfId="48" applyFont="1" applyFill="1" applyBorder="1" applyAlignment="1">
      <alignment horizontal="left" wrapText="1"/>
    </xf>
    <xf numFmtId="165" fontId="0" fillId="0" borderId="54" xfId="0" applyNumberFormat="1" applyBorder="1" applyAlignment="1">
      <alignment horizontal="center" vertical="center"/>
    </xf>
    <xf numFmtId="165" fontId="0" fillId="0" borderId="55" xfId="0" applyNumberFormat="1" applyBorder="1" applyAlignment="1">
      <alignment horizontal="center" vertical="center"/>
    </xf>
    <xf numFmtId="0" fontId="6" fillId="0" borderId="38" xfId="45" quotePrefix="1" applyFont="1" applyFill="1" applyBorder="1" applyAlignment="1">
      <alignment horizontal="left" wrapText="1"/>
    </xf>
    <xf numFmtId="0" fontId="6" fillId="0" borderId="56" xfId="48" applyFont="1" applyFill="1" applyBorder="1" applyAlignment="1">
      <alignment horizontal="left" wrapText="1"/>
    </xf>
    <xf numFmtId="0" fontId="6" fillId="0" borderId="44" xfId="48" applyFont="1" applyFill="1" applyBorder="1" applyAlignment="1">
      <alignment horizontal="left" wrapText="1"/>
    </xf>
    <xf numFmtId="1" fontId="25" fillId="0" borderId="10" xfId="0" applyNumberFormat="1" applyFont="1" applyBorder="1" applyAlignment="1" applyProtection="1">
      <alignment horizontal="right"/>
      <protection locked="0"/>
    </xf>
    <xf numFmtId="1" fontId="11" fillId="0" borderId="73" xfId="0" applyNumberFormat="1" applyFont="1" applyBorder="1" applyAlignment="1" applyProtection="1">
      <alignment horizontal="center"/>
      <protection locked="0"/>
    </xf>
    <xf numFmtId="0" fontId="0" fillId="35" borderId="12" xfId="0" applyFill="1" applyBorder="1" applyAlignment="1" applyProtection="1">
      <alignment horizontal="left"/>
      <protection locked="0"/>
    </xf>
    <xf numFmtId="0" fontId="0" fillId="35" borderId="14" xfId="0" applyFill="1" applyBorder="1" applyAlignment="1" applyProtection="1">
      <alignment horizontal="left"/>
      <protection locked="0"/>
    </xf>
    <xf numFmtId="0" fontId="0" fillId="35" borderId="13" xfId="0" applyFill="1" applyBorder="1" applyAlignment="1" applyProtection="1">
      <alignment horizontal="left"/>
      <protection locked="0"/>
    </xf>
    <xf numFmtId="0" fontId="34" fillId="0" borderId="38" xfId="48" applyFont="1" applyFill="1" applyBorder="1" applyAlignment="1">
      <alignment horizontal="left" wrapText="1"/>
    </xf>
    <xf numFmtId="0" fontId="34" fillId="28" borderId="51" xfId="48" applyFont="1" applyFill="1" applyBorder="1" applyAlignment="1">
      <alignment horizontal="center"/>
    </xf>
    <xf numFmtId="0" fontId="34" fillId="28" borderId="31" xfId="48" applyFont="1" applyFill="1" applyBorder="1" applyAlignment="1">
      <alignment horizontal="center"/>
    </xf>
    <xf numFmtId="0" fontId="34" fillId="28" borderId="52" xfId="48" applyFont="1" applyFill="1" applyBorder="1" applyAlignment="1">
      <alignment horizontal="center"/>
    </xf>
    <xf numFmtId="165" fontId="0" fillId="0" borderId="58" xfId="0" applyNumberFormat="1" applyBorder="1" applyAlignment="1">
      <alignment horizontal="center" vertical="center"/>
    </xf>
    <xf numFmtId="165" fontId="0" fillId="0" borderId="79" xfId="0" applyNumberFormat="1" applyBorder="1" applyAlignment="1">
      <alignment horizontal="center" vertical="center"/>
    </xf>
    <xf numFmtId="0" fontId="24" fillId="33" borderId="62" xfId="0" applyFont="1" applyFill="1" applyBorder="1" applyAlignment="1">
      <alignment horizontal="center"/>
    </xf>
    <xf numFmtId="0" fontId="24" fillId="33" borderId="63" xfId="0" applyFont="1" applyFill="1" applyBorder="1" applyAlignment="1">
      <alignment horizontal="center"/>
    </xf>
    <xf numFmtId="0" fontId="29" fillId="26" borderId="10" xfId="0" applyFont="1" applyFill="1" applyBorder="1" applyAlignment="1">
      <alignment horizontal="center"/>
    </xf>
    <xf numFmtId="0" fontId="34" fillId="0" borderId="12" xfId="48" applyFont="1" applyFill="1" applyBorder="1" applyAlignment="1">
      <alignment horizontal="left" wrapText="1"/>
    </xf>
    <xf numFmtId="0" fontId="34" fillId="28" borderId="15" xfId="48" applyFont="1" applyFill="1" applyBorder="1" applyAlignment="1">
      <alignment horizontal="center"/>
    </xf>
    <xf numFmtId="0" fontId="34" fillId="28" borderId="0" xfId="48" applyFont="1" applyFill="1" applyBorder="1" applyAlignment="1">
      <alignment horizontal="center"/>
    </xf>
    <xf numFmtId="0" fontId="34" fillId="0" borderId="48" xfId="48" applyFont="1" applyFill="1" applyBorder="1" applyAlignment="1">
      <alignment horizontal="left" wrapText="1"/>
    </xf>
    <xf numFmtId="0" fontId="34" fillId="0" borderId="27" xfId="48" applyFont="1" applyFill="1" applyBorder="1" applyAlignment="1">
      <alignment horizontal="left" wrapText="1"/>
    </xf>
    <xf numFmtId="0" fontId="34" fillId="0" borderId="28" xfId="48" applyFont="1" applyFill="1" applyBorder="1" applyAlignment="1">
      <alignment horizontal="left" wrapText="1"/>
    </xf>
    <xf numFmtId="0" fontId="34" fillId="0" borderId="37" xfId="48" applyFont="1" applyFill="1" applyBorder="1" applyAlignment="1">
      <alignment horizontal="left" wrapText="1"/>
    </xf>
    <xf numFmtId="0" fontId="34" fillId="0" borderId="42" xfId="48" applyFont="1" applyFill="1" applyBorder="1" applyAlignment="1">
      <alignment horizontal="left" wrapText="1"/>
    </xf>
    <xf numFmtId="0" fontId="34" fillId="0" borderId="56" xfId="48" applyFont="1" applyFill="1" applyBorder="1" applyAlignment="1">
      <alignment horizontal="left" wrapText="1"/>
    </xf>
    <xf numFmtId="0" fontId="34" fillId="0" borderId="44" xfId="48" applyFont="1" applyFill="1" applyBorder="1" applyAlignment="1">
      <alignment horizontal="left" wrapText="1"/>
    </xf>
    <xf numFmtId="0" fontId="34" fillId="0" borderId="57" xfId="48" applyFont="1" applyFill="1" applyBorder="1" applyAlignment="1">
      <alignment horizontal="left" wrapText="1"/>
    </xf>
    <xf numFmtId="0" fontId="34" fillId="0" borderId="29" xfId="48" applyFont="1" applyFill="1" applyBorder="1" applyAlignment="1">
      <alignment horizontal="left" wrapText="1"/>
    </xf>
    <xf numFmtId="0" fontId="48" fillId="33" borderId="62" xfId="0" applyFont="1" applyFill="1" applyBorder="1" applyAlignment="1">
      <alignment horizontal="center"/>
    </xf>
    <xf numFmtId="0" fontId="48" fillId="33" borderId="63" xfId="0" applyFont="1" applyFill="1" applyBorder="1" applyAlignment="1">
      <alignment horizontal="center"/>
    </xf>
    <xf numFmtId="0" fontId="29" fillId="33" borderId="62" xfId="0" applyFont="1" applyFill="1" applyBorder="1" applyAlignment="1" applyProtection="1">
      <alignment horizontal="center"/>
      <protection locked="0"/>
    </xf>
    <xf numFmtId="0" fontId="29" fillId="33" borderId="63" xfId="0" applyFont="1" applyFill="1" applyBorder="1" applyAlignment="1" applyProtection="1">
      <alignment horizontal="center"/>
      <protection locked="0"/>
    </xf>
    <xf numFmtId="1" fontId="11" fillId="0" borderId="12" xfId="0" applyNumberFormat="1" applyFont="1" applyBorder="1" applyAlignment="1" applyProtection="1">
      <alignment horizontal="left"/>
      <protection locked="0"/>
    </xf>
    <xf numFmtId="1" fontId="50" fillId="27" borderId="10" xfId="25" applyNumberFormat="1" applyFont="1" applyFill="1" applyBorder="1" applyAlignment="1" applyProtection="1">
      <alignment horizontal="left"/>
      <protection locked="0"/>
    </xf>
    <xf numFmtId="1" fontId="50" fillId="27" borderId="12" xfId="25" applyNumberFormat="1" applyFont="1" applyFill="1" applyBorder="1" applyAlignment="1" applyProtection="1">
      <alignment horizontal="left"/>
      <protection locked="0"/>
    </xf>
    <xf numFmtId="0" fontId="0" fillId="0" borderId="0" xfId="0" applyAlignment="1"/>
    <xf numFmtId="0" fontId="29" fillId="26" borderId="0" xfId="0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left"/>
      <protection locked="0"/>
    </xf>
    <xf numFmtId="0" fontId="0" fillId="27" borderId="12" xfId="0" applyFill="1" applyBorder="1" applyAlignment="1" applyProtection="1">
      <alignment horizontal="left"/>
      <protection locked="0"/>
    </xf>
    <xf numFmtId="0" fontId="40" fillId="0" borderId="0" xfId="0" applyFont="1" applyAlignment="1">
      <alignment horizontal="center"/>
    </xf>
  </cellXfs>
  <cellStyles count="63">
    <cellStyle name="1 antraštė" xfId="30" builtinId="16" customBuiltin="1"/>
    <cellStyle name="2 antraštė" xfId="31" builtinId="17" customBuiltin="1"/>
    <cellStyle name="20% - Accent1 2" xfId="55"/>
    <cellStyle name="20% – paryškinimas 1" xfId="1" builtinId="30" customBuiltin="1"/>
    <cellStyle name="20% – paryškinimas 2" xfId="2" builtinId="34" customBuiltin="1"/>
    <cellStyle name="20% – paryškinimas 3" xfId="3" builtinId="38" customBuiltin="1"/>
    <cellStyle name="20% – paryškinimas 4" xfId="4" builtinId="42" customBuiltin="1"/>
    <cellStyle name="20% – paryškinimas 5" xfId="5" builtinId="46" customBuiltin="1"/>
    <cellStyle name="20% – paryškinimas 6" xfId="6" builtinId="50" customBuiltin="1"/>
    <cellStyle name="3 antraštė" xfId="32" builtinId="18" customBuiltin="1"/>
    <cellStyle name="4 antraštė" xfId="33" builtinId="19" customBuiltin="1"/>
    <cellStyle name="40% - Accent1 2" xfId="56"/>
    <cellStyle name="40% – paryškinimas 1" xfId="7" builtinId="31" customBuiltin="1"/>
    <cellStyle name="40% – paryškinimas 2" xfId="8" builtinId="35" customBuiltin="1"/>
    <cellStyle name="40% – paryškinimas 3" xfId="9" builtinId="39" customBuiltin="1"/>
    <cellStyle name="40% – paryškinimas 4" xfId="10" builtinId="43" customBuiltin="1"/>
    <cellStyle name="40% – paryškinimas 5" xfId="11" builtinId="47" customBuiltin="1"/>
    <cellStyle name="40% – paryškinimas 6" xfId="12" builtinId="51" customBuiltin="1"/>
    <cellStyle name="60% – paryškinimas 1" xfId="13" builtinId="32" customBuiltin="1"/>
    <cellStyle name="60% – paryškinimas 2" xfId="14" builtinId="36" customBuiltin="1"/>
    <cellStyle name="60% – paryškinimas 3" xfId="15" builtinId="40" customBuiltin="1"/>
    <cellStyle name="60% – paryškinimas 4" xfId="16" builtinId="44" customBuiltin="1"/>
    <cellStyle name="60% – paryškinimas 5" xfId="17" builtinId="48" customBuiltin="1"/>
    <cellStyle name="60% – paryškinimas 6" xfId="18" builtinId="52" customBuiltin="1"/>
    <cellStyle name="Accent1 2" xfId="54"/>
    <cellStyle name="Aiškinamasis tekstas" xfId="28" builtinId="53" customBuiltin="1"/>
    <cellStyle name="Blogas" xfId="25" builtinId="27" customBuiltin="1"/>
    <cellStyle name="Comma 2" xfId="53"/>
    <cellStyle name="Geras" xfId="29" builtinId="26" customBuiltin="1"/>
    <cellStyle name="Išvestis" xfId="38" builtinId="21" customBuiltin="1"/>
    <cellStyle name="Įprastas" xfId="0" builtinId="0"/>
    <cellStyle name="Įspėjimo tekstas" xfId="41" builtinId="11" customBuiltin="1"/>
    <cellStyle name="Įvestis" xfId="34" builtinId="20" customBuiltin="1"/>
    <cellStyle name="Kablelis" xfId="51" builtinId="3"/>
    <cellStyle name="Neutralus" xfId="36" builtinId="28" customBuiltin="1"/>
    <cellStyle name="Normal 2" xfId="46"/>
    <cellStyle name="Normal 3" xfId="49"/>
    <cellStyle name="Normal 4" xfId="52"/>
    <cellStyle name="Normal 5" xfId="59"/>
    <cellStyle name="Normal 6" xfId="61"/>
    <cellStyle name="Normal_2012" xfId="42"/>
    <cellStyle name="Normal_2013" xfId="43"/>
    <cellStyle name="Normal_2013 Request" xfId="57"/>
    <cellStyle name="Normal_2013 Top Destinations" xfId="58"/>
    <cellStyle name="Normal_2013_1" xfId="44"/>
    <cellStyle name="Normal_2013_2" xfId="48"/>
    <cellStyle name="Normal_2014" xfId="60"/>
    <cellStyle name="Normal_2015" xfId="62"/>
    <cellStyle name="Normal_Sheet1" xfId="45"/>
    <cellStyle name="Normal_Sheet1 2" xfId="50"/>
    <cellStyle name="Paryškinimas 1" xfId="19" builtinId="29" customBuiltin="1"/>
    <cellStyle name="Paryškinimas 2" xfId="20" builtinId="33" customBuiltin="1"/>
    <cellStyle name="Paryškinimas 3" xfId="21" builtinId="37" customBuiltin="1"/>
    <cellStyle name="Paryškinimas 4" xfId="22" builtinId="41" customBuiltin="1"/>
    <cellStyle name="Paryškinimas 5" xfId="23" builtinId="45" customBuiltin="1"/>
    <cellStyle name="Paryškinimas 6" xfId="24" builtinId="49" customBuiltin="1"/>
    <cellStyle name="Pastaba" xfId="37" builtinId="10" customBuiltin="1"/>
    <cellStyle name="Pavadinimas" xfId="39" builtinId="15" customBuiltin="1"/>
    <cellStyle name="Procentai" xfId="47" builtinId="5"/>
    <cellStyle name="Skaičiavimas" xfId="26" builtinId="22" customBuiltin="1"/>
    <cellStyle name="Suma" xfId="40" builtinId="25" customBuiltin="1"/>
    <cellStyle name="Susietas langelis" xfId="35" builtinId="24" customBuiltin="1"/>
    <cellStyle name="Tikrinimo langelis" xfId="27" builtinId="23" customBuiltin="1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</a:t>
            </a:r>
            <a:r>
              <a:rPr lang="en-US" baseline="0"/>
              <a:t> of interconnections</a:t>
            </a:r>
          </a:p>
        </c:rich>
      </c:tx>
      <c:layout>
        <c:manualLayout>
          <c:xMode val="edge"/>
          <c:yMode val="edge"/>
          <c:x val="0.14375655430463916"/>
          <c:y val="2.861952482574765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'Year comparison'!$B$2</c:f>
              <c:strCache>
                <c:ptCount val="1"/>
                <c:pt idx="0">
                  <c:v>Number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375847664347293E-2"/>
                  <c:y val="-2.7356810357714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44501394467288E-2"/>
                  <c:y val="-1.795781286736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000000000000001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'Year comparison'!$A$3:$A$6</c:f>
              <c:numCache>
                <c:formatCode>yyyy</c:formatCode>
                <c:ptCount val="4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42005</c:v>
                </c:pt>
              </c:numCache>
            </c:numRef>
          </c:cat>
          <c:val>
            <c:numRef>
              <c:f>'Year comparison'!$B$3:$B$6</c:f>
              <c:numCache>
                <c:formatCode>0</c:formatCode>
                <c:ptCount val="4"/>
                <c:pt idx="0" formatCode="General">
                  <c:v>172</c:v>
                </c:pt>
                <c:pt idx="1">
                  <c:v>379</c:v>
                </c:pt>
                <c:pt idx="2">
                  <c:v>496</c:v>
                </c:pt>
                <c:pt idx="3">
                  <c:v>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445504"/>
        <c:axId val="109447040"/>
        <c:axId val="0"/>
      </c:bar3DChart>
      <c:dateAx>
        <c:axId val="10944550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109447040"/>
        <c:crosses val="autoZero"/>
        <c:auto val="1"/>
        <c:lblOffset val="100"/>
        <c:baseTimeUnit val="years"/>
      </c:dateAx>
      <c:valAx>
        <c:axId val="10944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44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type</a:t>
            </a:r>
          </a:p>
        </c:rich>
      </c:tx>
      <c:layout>
        <c:manualLayout>
          <c:xMode val="edge"/>
          <c:yMode val="edge"/>
          <c:x val="0.44280442804428044"/>
          <c:y val="3.8062348045435575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034702949524614E-2"/>
          <c:y val="0.10312103171193922"/>
          <c:w val="0.85326607467549886"/>
          <c:h val="0.83066651442482242"/>
        </c:manualLayout>
      </c:layout>
      <c:bar3D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'2012'!$A$123:$A$134</c:f>
              <c:strCache>
                <c:ptCount val="12"/>
                <c:pt idx="0">
                  <c:v>NOT</c:v>
                </c:pt>
                <c:pt idx="1">
                  <c:v>NPB</c:v>
                </c:pt>
                <c:pt idx="2">
                  <c:v>NRC</c:v>
                </c:pt>
                <c:pt idx="3">
                  <c:v>REQ</c:v>
                </c:pt>
                <c:pt idx="4">
                  <c:v>RDL</c:v>
                </c:pt>
                <c:pt idx="5">
                  <c:v>RDN</c:v>
                </c:pt>
                <c:pt idx="6">
                  <c:v>RPB</c:v>
                </c:pt>
                <c:pt idx="7">
                  <c:v>RRS</c:v>
                </c:pt>
                <c:pt idx="8">
                  <c:v>RAI</c:v>
                </c:pt>
                <c:pt idx="9">
                  <c:v>AI</c:v>
                </c:pt>
                <c:pt idx="10">
                  <c:v>AIU</c:v>
                </c:pt>
                <c:pt idx="11">
                  <c:v>FE</c:v>
                </c:pt>
              </c:strCache>
            </c:strRef>
          </c:cat>
          <c:val>
            <c:numRef>
              <c:f>'2012'!$F$123:$F$134</c:f>
              <c:numCache>
                <c:formatCode>0</c:formatCode>
                <c:ptCount val="12"/>
                <c:pt idx="0">
                  <c:v>76611</c:v>
                </c:pt>
                <c:pt idx="1">
                  <c:v>2578</c:v>
                </c:pt>
                <c:pt idx="2">
                  <c:v>59426</c:v>
                </c:pt>
                <c:pt idx="3">
                  <c:v>50909</c:v>
                </c:pt>
                <c:pt idx="4">
                  <c:v>51665</c:v>
                </c:pt>
                <c:pt idx="5">
                  <c:v>300</c:v>
                </c:pt>
                <c:pt idx="6">
                  <c:v>1005</c:v>
                </c:pt>
                <c:pt idx="7">
                  <c:v>46149</c:v>
                </c:pt>
                <c:pt idx="8">
                  <c:v>3209</c:v>
                </c:pt>
                <c:pt idx="9">
                  <c:v>750</c:v>
                </c:pt>
                <c:pt idx="10">
                  <c:v>1355</c:v>
                </c:pt>
                <c:pt idx="11">
                  <c:v>7016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743808"/>
        <c:axId val="100761984"/>
        <c:axId val="0"/>
      </c:bar3DChart>
      <c:catAx>
        <c:axId val="10074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076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7619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074380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Main message types per month</a:t>
            </a:r>
          </a:p>
        </c:rich>
      </c:tx>
      <c:layout>
        <c:manualLayout>
          <c:xMode val="edge"/>
          <c:yMode val="edge"/>
          <c:x val="0.39493652182366096"/>
          <c:y val="3.8194469233005103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722145991642326E-2"/>
          <c:y val="0.14295685356708235"/>
          <c:w val="0.81973341342794581"/>
          <c:h val="0.73157779330249917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'2012'!$A$75:$A$83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'2012'!$B$75:$B$83</c:f>
              <c:numCache>
                <c:formatCode>0</c:formatCode>
                <c:ptCount val="9"/>
                <c:pt idx="0">
                  <c:v>197</c:v>
                </c:pt>
                <c:pt idx="1">
                  <c:v>8884</c:v>
                </c:pt>
                <c:pt idx="2">
                  <c:v>12137</c:v>
                </c:pt>
                <c:pt idx="3">
                  <c:v>8453</c:v>
                </c:pt>
                <c:pt idx="4">
                  <c:v>8723</c:v>
                </c:pt>
                <c:pt idx="5">
                  <c:v>9893</c:v>
                </c:pt>
                <c:pt idx="6">
                  <c:v>10702</c:v>
                </c:pt>
                <c:pt idx="7">
                  <c:v>8032</c:v>
                </c:pt>
                <c:pt idx="8" formatCode="General">
                  <c:v>9590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'2012'!$A$75:$A$83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'2012'!$C$75:$C$83</c:f>
              <c:numCache>
                <c:formatCode>0</c:formatCode>
                <c:ptCount val="9"/>
                <c:pt idx="0">
                  <c:v>89</c:v>
                </c:pt>
                <c:pt idx="1">
                  <c:v>3948</c:v>
                </c:pt>
                <c:pt idx="2">
                  <c:v>4953</c:v>
                </c:pt>
                <c:pt idx="3">
                  <c:v>6203</c:v>
                </c:pt>
                <c:pt idx="4">
                  <c:v>6798</c:v>
                </c:pt>
                <c:pt idx="5">
                  <c:v>6612</c:v>
                </c:pt>
                <c:pt idx="6">
                  <c:v>8090</c:v>
                </c:pt>
                <c:pt idx="7">
                  <c:v>8002</c:v>
                </c:pt>
                <c:pt idx="8" formatCode="General">
                  <c:v>6214</c:v>
                </c:pt>
              </c:numCache>
            </c:numRef>
          </c:val>
        </c:ser>
        <c:ser>
          <c:idx val="2"/>
          <c:order val="2"/>
          <c:tx>
            <c:v>Replies to requests</c:v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'2012'!$A$75:$A$83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'2012'!$D$75:$D$83</c:f>
              <c:numCache>
                <c:formatCode>0</c:formatCode>
                <c:ptCount val="9"/>
                <c:pt idx="0">
                  <c:v>32</c:v>
                </c:pt>
                <c:pt idx="1">
                  <c:v>3209</c:v>
                </c:pt>
                <c:pt idx="2">
                  <c:v>4061</c:v>
                </c:pt>
                <c:pt idx="3">
                  <c:v>5666</c:v>
                </c:pt>
                <c:pt idx="4">
                  <c:v>7175</c:v>
                </c:pt>
                <c:pt idx="5">
                  <c:v>6285</c:v>
                </c:pt>
                <c:pt idx="6">
                  <c:v>7443</c:v>
                </c:pt>
                <c:pt idx="7">
                  <c:v>7615</c:v>
                </c:pt>
                <c:pt idx="8" formatCode="General">
                  <c:v>5968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793344"/>
        <c:axId val="101323520"/>
        <c:axId val="0"/>
      </c:bar3DChart>
      <c:catAx>
        <c:axId val="10079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132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3235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079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12306794983962"/>
          <c:y val="0.43234320739611326"/>
          <c:w val="0.12549071643822299"/>
          <c:h val="0.16575702564468672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Notifications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931238754400414"/>
          <c:y val="3.8062260864063488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'2012'!$A$244:$A$263</c:f>
              <c:strCache>
                <c:ptCount val="20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CZ</c:v>
                </c:pt>
                <c:pt idx="4">
                  <c:v>DE</c:v>
                </c:pt>
                <c:pt idx="5">
                  <c:v>DK</c:v>
                </c:pt>
                <c:pt idx="6">
                  <c:v>EE</c:v>
                </c:pt>
                <c:pt idx="7">
                  <c:v>ES</c:v>
                </c:pt>
                <c:pt idx="8">
                  <c:v>FI</c:v>
                </c:pt>
                <c:pt idx="9">
                  <c:v>FR</c:v>
                </c:pt>
                <c:pt idx="10">
                  <c:v>GB</c:v>
                </c:pt>
                <c:pt idx="11">
                  <c:v>GR</c:v>
                </c:pt>
                <c:pt idx="12">
                  <c:v>HU</c:v>
                </c:pt>
                <c:pt idx="13">
                  <c:v>IE</c:v>
                </c:pt>
                <c:pt idx="14">
                  <c:v>LT</c:v>
                </c:pt>
                <c:pt idx="15">
                  <c:v>LV</c:v>
                </c:pt>
                <c:pt idx="16">
                  <c:v>NL</c:v>
                </c:pt>
                <c:pt idx="17">
                  <c:v>PL</c:v>
                </c:pt>
                <c:pt idx="18">
                  <c:v>RO</c:v>
                </c:pt>
                <c:pt idx="19">
                  <c:v>SK</c:v>
                </c:pt>
              </c:strCache>
            </c:strRef>
          </c:cat>
          <c:val>
            <c:numRef>
              <c:f>'2012'!$B$244:$B$263</c:f>
              <c:numCache>
                <c:formatCode>General</c:formatCode>
                <c:ptCount val="20"/>
                <c:pt idx="0">
                  <c:v>6417</c:v>
                </c:pt>
                <c:pt idx="1">
                  <c:v>621</c:v>
                </c:pt>
                <c:pt idx="2">
                  <c:v>6</c:v>
                </c:pt>
                <c:pt idx="3">
                  <c:v>53</c:v>
                </c:pt>
                <c:pt idx="4">
                  <c:v>21429</c:v>
                </c:pt>
                <c:pt idx="5">
                  <c:v>253</c:v>
                </c:pt>
                <c:pt idx="6">
                  <c:v>11</c:v>
                </c:pt>
                <c:pt idx="7">
                  <c:v>14690</c:v>
                </c:pt>
                <c:pt idx="8">
                  <c:v>446</c:v>
                </c:pt>
                <c:pt idx="9">
                  <c:v>20377</c:v>
                </c:pt>
                <c:pt idx="10">
                  <c:v>7275</c:v>
                </c:pt>
                <c:pt idx="11">
                  <c:v>6</c:v>
                </c:pt>
                <c:pt idx="12">
                  <c:v>0</c:v>
                </c:pt>
                <c:pt idx="13">
                  <c:v>2</c:v>
                </c:pt>
                <c:pt idx="14">
                  <c:v>37</c:v>
                </c:pt>
                <c:pt idx="15">
                  <c:v>41</c:v>
                </c:pt>
                <c:pt idx="16">
                  <c:v>1567</c:v>
                </c:pt>
                <c:pt idx="17">
                  <c:v>3313</c:v>
                </c:pt>
                <c:pt idx="18">
                  <c:v>46</c:v>
                </c:pt>
                <c:pt idx="19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352960"/>
        <c:axId val="101354496"/>
        <c:axId val="0"/>
      </c:bar3DChart>
      <c:catAx>
        <c:axId val="10135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135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35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1352960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931238754400414"/>
          <c:y val="3.8062260864063488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'2012'!$A$273:$A$292</c:f>
              <c:strCache>
                <c:ptCount val="20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CZ</c:v>
                </c:pt>
                <c:pt idx="4">
                  <c:v>DE</c:v>
                </c:pt>
                <c:pt idx="5">
                  <c:v>DK</c:v>
                </c:pt>
                <c:pt idx="6">
                  <c:v>EE</c:v>
                </c:pt>
                <c:pt idx="7">
                  <c:v>ES</c:v>
                </c:pt>
                <c:pt idx="8">
                  <c:v>FI</c:v>
                </c:pt>
                <c:pt idx="9">
                  <c:v>FR</c:v>
                </c:pt>
                <c:pt idx="10">
                  <c:v>GB</c:v>
                </c:pt>
                <c:pt idx="11">
                  <c:v>GR</c:v>
                </c:pt>
                <c:pt idx="12">
                  <c:v>HU</c:v>
                </c:pt>
                <c:pt idx="13">
                  <c:v>IE</c:v>
                </c:pt>
                <c:pt idx="14">
                  <c:v>LT</c:v>
                </c:pt>
                <c:pt idx="15">
                  <c:v>LV</c:v>
                </c:pt>
                <c:pt idx="16">
                  <c:v>NL</c:v>
                </c:pt>
                <c:pt idx="17">
                  <c:v>PL</c:v>
                </c:pt>
                <c:pt idx="18">
                  <c:v>RO</c:v>
                </c:pt>
                <c:pt idx="19">
                  <c:v>SK</c:v>
                </c:pt>
              </c:strCache>
            </c:strRef>
          </c:cat>
          <c:val>
            <c:numRef>
              <c:f>'2012'!$B$273:$B$292</c:f>
              <c:numCache>
                <c:formatCode>General</c:formatCode>
                <c:ptCount val="20"/>
                <c:pt idx="0">
                  <c:v>11314</c:v>
                </c:pt>
                <c:pt idx="1">
                  <c:v>67</c:v>
                </c:pt>
                <c:pt idx="2">
                  <c:v>0</c:v>
                </c:pt>
                <c:pt idx="3">
                  <c:v>258</c:v>
                </c:pt>
                <c:pt idx="4">
                  <c:v>21646</c:v>
                </c:pt>
                <c:pt idx="5">
                  <c:v>2</c:v>
                </c:pt>
                <c:pt idx="6">
                  <c:v>8</c:v>
                </c:pt>
                <c:pt idx="7">
                  <c:v>596</c:v>
                </c:pt>
                <c:pt idx="8">
                  <c:v>108</c:v>
                </c:pt>
                <c:pt idx="9">
                  <c:v>4487</c:v>
                </c:pt>
                <c:pt idx="10">
                  <c:v>10770</c:v>
                </c:pt>
                <c:pt idx="11">
                  <c:v>0</c:v>
                </c:pt>
                <c:pt idx="12">
                  <c:v>0</c:v>
                </c:pt>
                <c:pt idx="13">
                  <c:v>35</c:v>
                </c:pt>
                <c:pt idx="14">
                  <c:v>47</c:v>
                </c:pt>
                <c:pt idx="15">
                  <c:v>28</c:v>
                </c:pt>
                <c:pt idx="16">
                  <c:v>561</c:v>
                </c:pt>
                <c:pt idx="17">
                  <c:v>771</c:v>
                </c:pt>
                <c:pt idx="18">
                  <c:v>211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379072"/>
        <c:axId val="102458112"/>
        <c:axId val="0"/>
      </c:bar3DChart>
      <c:catAx>
        <c:axId val="10137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245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45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1379072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Interconnection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ratio</a:t>
            </a:r>
            <a:r>
              <a:rPr lang="en-GB" sz="1050">
                <a:latin typeface="Arial" pitchFamily="34" charset="0"/>
                <a:cs typeface="Arial" pitchFamily="34" charset="0"/>
              </a:rPr>
              <a:t> per month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00">
                <a:latin typeface="Arial" pitchFamily="34" charset="0"/>
                <a:cs typeface="Arial" pitchFamily="34" charset="0"/>
              </a:rPr>
              <a:t>(based on the number of "live" MS)</a:t>
            </a:r>
          </a:p>
        </c:rich>
      </c:tx>
      <c:layout>
        <c:manualLayout>
          <c:xMode val="edge"/>
          <c:yMode val="edge"/>
          <c:x val="0.33295284929197139"/>
          <c:y val="3.806249694569391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058835455698961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'2012'!$A$15:$A$23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'2012'!$C$15:$C$23</c:f>
              <c:numCache>
                <c:formatCode>0%</c:formatCode>
                <c:ptCount val="9"/>
                <c:pt idx="0">
                  <c:v>0.14285714285714285</c:v>
                </c:pt>
                <c:pt idx="1">
                  <c:v>0.30416666666666664</c:v>
                </c:pt>
                <c:pt idx="2">
                  <c:v>0.28308823529411764</c:v>
                </c:pt>
                <c:pt idx="3">
                  <c:v>0.28362573099415206</c:v>
                </c:pt>
                <c:pt idx="4">
                  <c:v>0.33918128654970758</c:v>
                </c:pt>
                <c:pt idx="5">
                  <c:v>0.3742690058479532</c:v>
                </c:pt>
                <c:pt idx="6">
                  <c:v>0.37368421052631579</c:v>
                </c:pt>
                <c:pt idx="7">
                  <c:v>0.39210526315789473</c:v>
                </c:pt>
                <c:pt idx="8">
                  <c:v>0.41052631578947368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472704"/>
        <c:axId val="102499072"/>
        <c:axId val="0"/>
      </c:bar3DChart>
      <c:catAx>
        <c:axId val="10247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249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4990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2472704"/>
        <c:crosses val="autoZero"/>
        <c:crossBetween val="between"/>
        <c:majorUnit val="5.000000000000001E-2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Notifications</a:t>
            </a:r>
          </a:p>
        </c:rich>
      </c:tx>
      <c:layout>
        <c:manualLayout>
          <c:xMode val="edge"/>
          <c:yMode val="edge"/>
          <c:x val="0.38265831955677027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'2012'!$A$146:$A$147</c:f>
              <c:strCache>
                <c:ptCount val="2"/>
                <c:pt idx="0">
                  <c:v>New conviction</c:v>
                </c:pt>
                <c:pt idx="1">
                  <c:v>Conviction update</c:v>
                </c:pt>
              </c:strCache>
            </c:strRef>
          </c:cat>
          <c:val>
            <c:numRef>
              <c:f>'2012'!$D$146:$D$147</c:f>
              <c:numCache>
                <c:formatCode>0</c:formatCode>
                <c:ptCount val="2"/>
                <c:pt idx="0">
                  <c:v>51089</c:v>
                </c:pt>
                <c:pt idx="1">
                  <c:v>24339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979464476130121"/>
          <c:y val="0.3219604761021479"/>
          <c:w val="0.36611464621332324"/>
          <c:h val="0.471571362734993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Requests</a:t>
            </a:r>
          </a:p>
        </c:rich>
      </c:tx>
      <c:layout>
        <c:manualLayout>
          <c:xMode val="edge"/>
          <c:yMode val="edge"/>
          <c:x val="0.42884961981943015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91634331174802E-2"/>
          <c:y val="0.23086861934074143"/>
          <c:w val="0.30881801231787875"/>
          <c:h val="0.696274213215895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'2012'!$A$151:$A$152</c:f>
              <c:strCache>
                <c:ptCount val="2"/>
                <c:pt idx="0">
                  <c:v>For criminal proceedings</c:v>
                </c:pt>
                <c:pt idx="1">
                  <c:v>For other purposes</c:v>
                </c:pt>
              </c:strCache>
            </c:strRef>
          </c:cat>
          <c:val>
            <c:numRef>
              <c:f>'2012'!$D$151:$D$152</c:f>
              <c:numCache>
                <c:formatCode>0</c:formatCode>
                <c:ptCount val="2"/>
                <c:pt idx="0">
                  <c:v>41601</c:v>
                </c:pt>
                <c:pt idx="1">
                  <c:v>8927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78852376287587"/>
          <c:y val="0.35212895272443101"/>
          <c:w val="0.46147489422936927"/>
          <c:h val="0.422999917772750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Replies to notifications</a:t>
            </a:r>
          </a:p>
        </c:rich>
      </c:tx>
      <c:layout>
        <c:manualLayout>
          <c:xMode val="edge"/>
          <c:yMode val="edge"/>
          <c:x val="0.21492608238303301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13196726262937E-2"/>
          <c:y val="0.25352254524570333"/>
          <c:w val="0.4807683507021035"/>
          <c:h val="0.66964214573600722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'2012'!$A$172:$A$173</c:f>
              <c:strCache>
                <c:ptCount val="2"/>
                <c:pt idx="0">
                  <c:v>Receipt</c:v>
                </c:pt>
                <c:pt idx="1">
                  <c:v>Problem</c:v>
                </c:pt>
              </c:strCache>
            </c:strRef>
          </c:cat>
          <c:val>
            <c:numRef>
              <c:f>'2012'!$D$172:$D$173</c:f>
              <c:numCache>
                <c:formatCode>0</c:formatCode>
                <c:ptCount val="2"/>
                <c:pt idx="0">
                  <c:v>59426</c:v>
                </c:pt>
                <c:pt idx="1">
                  <c:v>2578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314836340604847"/>
          <c:y val="0.3462461985832691"/>
          <c:w val="0.30830184876774225"/>
          <c:h val="0.373404775427183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Replies to requests</a:t>
            </a:r>
          </a:p>
        </c:rich>
      </c:tx>
      <c:layout>
        <c:manualLayout>
          <c:xMode val="edge"/>
          <c:yMode val="edge"/>
          <c:x val="0.32370523160027315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527640742501042E-2"/>
          <c:y val="0.24705910099482223"/>
          <c:w val="0.29771630464219884"/>
          <c:h val="0.67198849073477374"/>
        </c:manualLayout>
      </c:layout>
      <c:pieChart>
        <c:varyColors val="1"/>
        <c:ser>
          <c:idx val="4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'2012'!$A$177:$A$180</c:f>
              <c:strCache>
                <c:ptCount val="4"/>
                <c:pt idx="0">
                  <c:v>Response: no convictions</c:v>
                </c:pt>
                <c:pt idx="1">
                  <c:v>Response: one or more convictions</c:v>
                </c:pt>
                <c:pt idx="2">
                  <c:v>Denial</c:v>
                </c:pt>
                <c:pt idx="3">
                  <c:v>Problem</c:v>
                </c:pt>
              </c:strCache>
            </c:strRef>
          </c:cat>
          <c:val>
            <c:numRef>
              <c:f>'2012'!$F$177:$F$180</c:f>
              <c:numCache>
                <c:formatCode>General</c:formatCode>
                <c:ptCount val="4"/>
                <c:pt idx="0">
                  <c:v>31901</c:v>
                </c:pt>
                <c:pt idx="1">
                  <c:v>14248</c:v>
                </c:pt>
                <c:pt idx="2" formatCode="0">
                  <c:v>300</c:v>
                </c:pt>
                <c:pt idx="3" formatCode="0">
                  <c:v>1005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890540058931538"/>
          <c:y val="0.24689066459972567"/>
          <c:w val="0.60607338258791577"/>
          <c:h val="0.731642300219782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requests</a:t>
            </a:r>
          </a:p>
        </c:rich>
      </c:tx>
      <c:layout>
        <c:manualLayout>
          <c:xMode val="edge"/>
          <c:yMode val="edge"/>
          <c:x val="0.26649383571278401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'2012'!$A$158:$A$159</c:f>
              <c:strCache>
                <c:ptCount val="2"/>
                <c:pt idx="0">
                  <c:v>EU</c:v>
                </c:pt>
                <c:pt idx="1">
                  <c:v>Third country</c:v>
                </c:pt>
              </c:strCache>
            </c:strRef>
          </c:cat>
          <c:val>
            <c:numRef>
              <c:f>'2012'!$D$158:$D$159</c:f>
              <c:numCache>
                <c:formatCode>0</c:formatCode>
                <c:ptCount val="2"/>
                <c:pt idx="0">
                  <c:v>48398</c:v>
                </c:pt>
                <c:pt idx="1">
                  <c:v>2503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01"/>
          <c:y val="0.33815074221200081"/>
          <c:w val="0.28585927184120935"/>
          <c:h val="0.365309301744491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ECRIS</a:t>
            </a:r>
            <a:r>
              <a:rPr lang="en-US" baseline="0"/>
              <a:t> </a:t>
            </a:r>
            <a:r>
              <a:rPr lang="en-US"/>
              <a:t>total</a:t>
            </a:r>
            <a:r>
              <a:rPr lang="en-US" baseline="0"/>
              <a:t> </a:t>
            </a:r>
            <a:r>
              <a:rPr lang="en-US"/>
              <a:t>number of messages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'Year comparison'!$B$22</c:f>
              <c:strCache>
                <c:ptCount val="1"/>
                <c:pt idx="0">
                  <c:v>Number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97102647382432E-2"/>
                  <c:y val="-9.557945041816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'Year comparison'!$A$23:$A$26</c:f>
              <c:numCache>
                <c:formatCode>yyyy</c:formatCode>
                <c:ptCount val="4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42005</c:v>
                </c:pt>
              </c:numCache>
            </c:numRef>
          </c:cat>
          <c:val>
            <c:numRef>
              <c:f>'Year comparison'!$B$23:$B$26</c:f>
              <c:numCache>
                <c:formatCode>0</c:formatCode>
                <c:ptCount val="4"/>
                <c:pt idx="0">
                  <c:v>300973</c:v>
                </c:pt>
                <c:pt idx="1">
                  <c:v>862643</c:v>
                </c:pt>
                <c:pt idx="2">
                  <c:v>1256639</c:v>
                </c:pt>
                <c:pt idx="3">
                  <c:v>1811930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463808"/>
        <c:axId val="109477888"/>
        <c:axId val="0"/>
      </c:bar3DChart>
      <c:dateAx>
        <c:axId val="10946380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109477888"/>
        <c:crosses val="autoZero"/>
        <c:auto val="1"/>
        <c:lblOffset val="100"/>
        <c:baseTimeUnit val="years"/>
      </c:dateAx>
      <c:valAx>
        <c:axId val="1094778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946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Responses (Responses,  Problems, Denials)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079394374470896"/>
          <c:y val="3.8062187635594096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'2012'!$A$302:$A$321</c:f>
              <c:strCache>
                <c:ptCount val="20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CZ</c:v>
                </c:pt>
                <c:pt idx="4">
                  <c:v>DE</c:v>
                </c:pt>
                <c:pt idx="5">
                  <c:v>DK</c:v>
                </c:pt>
                <c:pt idx="6">
                  <c:v>EE</c:v>
                </c:pt>
                <c:pt idx="7">
                  <c:v>ES</c:v>
                </c:pt>
                <c:pt idx="8">
                  <c:v>FI</c:v>
                </c:pt>
                <c:pt idx="9">
                  <c:v>FR</c:v>
                </c:pt>
                <c:pt idx="10">
                  <c:v>GB</c:v>
                </c:pt>
                <c:pt idx="11">
                  <c:v>GR</c:v>
                </c:pt>
                <c:pt idx="12">
                  <c:v>HU</c:v>
                </c:pt>
                <c:pt idx="13">
                  <c:v>IE</c:v>
                </c:pt>
                <c:pt idx="14">
                  <c:v>LT</c:v>
                </c:pt>
                <c:pt idx="15">
                  <c:v>LV</c:v>
                </c:pt>
                <c:pt idx="16">
                  <c:v>NL</c:v>
                </c:pt>
                <c:pt idx="17">
                  <c:v>PL</c:v>
                </c:pt>
                <c:pt idx="18">
                  <c:v>RO</c:v>
                </c:pt>
                <c:pt idx="19">
                  <c:v>SK</c:v>
                </c:pt>
              </c:strCache>
            </c:strRef>
          </c:cat>
          <c:val>
            <c:numRef>
              <c:f>'2012'!$B$302:$B$321</c:f>
              <c:numCache>
                <c:formatCode>General</c:formatCode>
                <c:ptCount val="20"/>
                <c:pt idx="0">
                  <c:v>2162</c:v>
                </c:pt>
                <c:pt idx="1">
                  <c:v>242</c:v>
                </c:pt>
                <c:pt idx="2">
                  <c:v>100</c:v>
                </c:pt>
                <c:pt idx="3">
                  <c:v>29</c:v>
                </c:pt>
                <c:pt idx="4">
                  <c:v>6867</c:v>
                </c:pt>
                <c:pt idx="5">
                  <c:v>160</c:v>
                </c:pt>
                <c:pt idx="6">
                  <c:v>394</c:v>
                </c:pt>
                <c:pt idx="7">
                  <c:v>2562</c:v>
                </c:pt>
                <c:pt idx="8">
                  <c:v>165</c:v>
                </c:pt>
                <c:pt idx="9">
                  <c:v>2949</c:v>
                </c:pt>
                <c:pt idx="10">
                  <c:v>2322</c:v>
                </c:pt>
                <c:pt idx="11">
                  <c:v>109</c:v>
                </c:pt>
                <c:pt idx="12">
                  <c:v>53</c:v>
                </c:pt>
                <c:pt idx="13">
                  <c:v>24</c:v>
                </c:pt>
                <c:pt idx="14">
                  <c:v>2556</c:v>
                </c:pt>
                <c:pt idx="15">
                  <c:v>382</c:v>
                </c:pt>
                <c:pt idx="16">
                  <c:v>436</c:v>
                </c:pt>
                <c:pt idx="17">
                  <c:v>19572</c:v>
                </c:pt>
                <c:pt idx="18">
                  <c:v>6058</c:v>
                </c:pt>
                <c:pt idx="19">
                  <c:v>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47488"/>
        <c:axId val="109257472"/>
        <c:axId val="0"/>
      </c:bar3DChart>
      <c:catAx>
        <c:axId val="10924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925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5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924748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% of Request  with expired deadline per destination</a:t>
            </a:r>
          </a:p>
        </c:rich>
      </c:tx>
      <c:layout>
        <c:manualLayout>
          <c:xMode val="edge"/>
          <c:yMode val="edge"/>
          <c:x val="0.31038242263432203"/>
          <c:y val="4.0953334697716011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'2012'!$C$363</c:f>
              <c:strCache>
                <c:ptCount val="1"/>
                <c:pt idx="0">
                  <c:v>% of Req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'2012'!$A$364:$A$380</c:f>
              <c:strCache>
                <c:ptCount val="1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DE</c:v>
                </c:pt>
                <c:pt idx="4">
                  <c:v>DK</c:v>
                </c:pt>
                <c:pt idx="5">
                  <c:v>EE</c:v>
                </c:pt>
                <c:pt idx="6">
                  <c:v>ES</c:v>
                </c:pt>
                <c:pt idx="7">
                  <c:v>FR</c:v>
                </c:pt>
                <c:pt idx="8">
                  <c:v>GB</c:v>
                </c:pt>
                <c:pt idx="9">
                  <c:v>GR</c:v>
                </c:pt>
                <c:pt idx="10">
                  <c:v>HU</c:v>
                </c:pt>
                <c:pt idx="11">
                  <c:v>LT</c:v>
                </c:pt>
                <c:pt idx="12">
                  <c:v>LV</c:v>
                </c:pt>
                <c:pt idx="13">
                  <c:v>NL</c:v>
                </c:pt>
                <c:pt idx="14">
                  <c:v>PL</c:v>
                </c:pt>
                <c:pt idx="15">
                  <c:v>RO</c:v>
                </c:pt>
                <c:pt idx="16">
                  <c:v>SK</c:v>
                </c:pt>
              </c:strCache>
            </c:strRef>
          </c:cat>
          <c:val>
            <c:numRef>
              <c:f>'2012'!$C$364:$C$380</c:f>
              <c:numCache>
                <c:formatCode>0.0%</c:formatCode>
                <c:ptCount val="17"/>
                <c:pt idx="0">
                  <c:v>1.0719071013845467E-2</c:v>
                </c:pt>
                <c:pt idx="1">
                  <c:v>1.6129032258064516E-2</c:v>
                </c:pt>
                <c:pt idx="2">
                  <c:v>0.12173913043478261</c:v>
                </c:pt>
                <c:pt idx="3">
                  <c:v>0.13661899897854954</c:v>
                </c:pt>
                <c:pt idx="4">
                  <c:v>5.9139784946236562E-2</c:v>
                </c:pt>
                <c:pt idx="5">
                  <c:v>1.7412935323383085E-2</c:v>
                </c:pt>
                <c:pt idx="6">
                  <c:v>0.12202908832919475</c:v>
                </c:pt>
                <c:pt idx="7">
                  <c:v>6.1509194673430564E-2</c:v>
                </c:pt>
                <c:pt idx="8">
                  <c:v>6.3100710405348939E-2</c:v>
                </c:pt>
                <c:pt idx="9">
                  <c:v>0.56540084388185652</c:v>
                </c:pt>
                <c:pt idx="10">
                  <c:v>0.5757575757575758</c:v>
                </c:pt>
                <c:pt idx="11">
                  <c:v>5.2051671732522793E-2</c:v>
                </c:pt>
                <c:pt idx="12">
                  <c:v>0.13411764705882354</c:v>
                </c:pt>
                <c:pt idx="13">
                  <c:v>8.8937093275488072E-2</c:v>
                </c:pt>
                <c:pt idx="14">
                  <c:v>6.7446220643378726E-2</c:v>
                </c:pt>
                <c:pt idx="15">
                  <c:v>0.18271641350833209</c:v>
                </c:pt>
                <c:pt idx="16">
                  <c:v>9.8039215686274508E-2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82432"/>
        <c:axId val="109283968"/>
        <c:axId val="0"/>
      </c:bar3DChart>
      <c:catAx>
        <c:axId val="10928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92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8396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928243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responses</a:t>
            </a:r>
          </a:p>
        </c:rich>
      </c:tx>
      <c:layout>
        <c:manualLayout>
          <c:xMode val="edge"/>
          <c:yMode val="edge"/>
          <c:x val="0.26649383571278401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'2012'!$A$165:$A$167</c:f>
              <c:strCache>
                <c:ptCount val="3"/>
                <c:pt idx="0">
                  <c:v>EU</c:v>
                </c:pt>
                <c:pt idx="1">
                  <c:v>Third country</c:v>
                </c:pt>
                <c:pt idx="2">
                  <c:v>Stateless</c:v>
                </c:pt>
              </c:strCache>
            </c:strRef>
          </c:cat>
          <c:val>
            <c:numRef>
              <c:f>'2012'!$D$165:$D$167</c:f>
              <c:numCache>
                <c:formatCode>0</c:formatCode>
                <c:ptCount val="3"/>
                <c:pt idx="0">
                  <c:v>44164</c:v>
                </c:pt>
                <c:pt idx="1">
                  <c:v>1981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01"/>
          <c:y val="0.33815074221200081"/>
          <c:w val="0.28585927184120935"/>
          <c:h val="0.365309301744491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month</a:t>
            </a:r>
          </a:p>
        </c:rich>
      </c:tx>
      <c:layout>
        <c:manualLayout>
          <c:xMode val="edge"/>
          <c:yMode val="edge"/>
          <c:x val="0.3884913629199741"/>
          <c:y val="3.806239301480089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095940959409596E-2"/>
          <c:y val="0.12215377358599901"/>
          <c:w val="0.88007380073800734"/>
          <c:h val="0.7757969781642991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'2013'!$A$65:$A$76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'2013'!$B$65:$B$76</c:f>
              <c:numCache>
                <c:formatCode>General</c:formatCode>
                <c:ptCount val="12"/>
                <c:pt idx="0">
                  <c:v>59253</c:v>
                </c:pt>
                <c:pt idx="1">
                  <c:v>59341</c:v>
                </c:pt>
                <c:pt idx="2">
                  <c:v>61979</c:v>
                </c:pt>
                <c:pt idx="3">
                  <c:v>63358</c:v>
                </c:pt>
                <c:pt idx="4">
                  <c:v>68757</c:v>
                </c:pt>
                <c:pt idx="5">
                  <c:v>68734</c:v>
                </c:pt>
                <c:pt idx="6">
                  <c:v>77778</c:v>
                </c:pt>
                <c:pt idx="7">
                  <c:v>66508</c:v>
                </c:pt>
                <c:pt idx="8">
                  <c:v>80535</c:v>
                </c:pt>
                <c:pt idx="9">
                  <c:v>86383</c:v>
                </c:pt>
                <c:pt idx="10">
                  <c:v>86945</c:v>
                </c:pt>
                <c:pt idx="11">
                  <c:v>83072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432192"/>
        <c:axId val="88073344"/>
        <c:axId val="0"/>
      </c:bar3DChart>
      <c:catAx>
        <c:axId val="10943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807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0733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943219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Interconnections per month</a:t>
            </a:r>
          </a:p>
        </c:rich>
      </c:tx>
      <c:layout>
        <c:manualLayout>
          <c:xMode val="edge"/>
          <c:yMode val="edge"/>
          <c:x val="0.36023685970514496"/>
          <c:y val="3.8062404042868266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058835455698961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'2013'!$B$18:$B$29</c:f>
              <c:numCache>
                <c:formatCode>0</c:formatCode>
                <c:ptCount val="12"/>
                <c:pt idx="0">
                  <c:v>176</c:v>
                </c:pt>
                <c:pt idx="1">
                  <c:v>214</c:v>
                </c:pt>
                <c:pt idx="2">
                  <c:v>218</c:v>
                </c:pt>
                <c:pt idx="3">
                  <c:v>249</c:v>
                </c:pt>
                <c:pt idx="4">
                  <c:v>248</c:v>
                </c:pt>
                <c:pt idx="5">
                  <c:v>255</c:v>
                </c:pt>
                <c:pt idx="6">
                  <c:v>267</c:v>
                </c:pt>
                <c:pt idx="7">
                  <c:v>282</c:v>
                </c:pt>
                <c:pt idx="8">
                  <c:v>293</c:v>
                </c:pt>
                <c:pt idx="9">
                  <c:v>298</c:v>
                </c:pt>
                <c:pt idx="10">
                  <c:v>336</c:v>
                </c:pt>
                <c:pt idx="11" formatCode="General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698752"/>
        <c:axId val="98700288"/>
        <c:axId val="0"/>
      </c:bar3DChart>
      <c:catAx>
        <c:axId val="9869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9870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7002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9869875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New transactions per month</a:t>
            </a:r>
          </a:p>
        </c:rich>
      </c:tx>
      <c:layout>
        <c:manualLayout>
          <c:xMode val="edge"/>
          <c:yMode val="edge"/>
          <c:x val="0.38638267312334035"/>
          <c:y val="3.8194545622316764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837152818436273E-2"/>
          <c:y val="0.1002319737552835"/>
          <c:w val="0.81055126464177929"/>
          <c:h val="0.83078947567226591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'2013'!$B$90:$B$101</c:f>
              <c:numCache>
                <c:formatCode>0</c:formatCode>
                <c:ptCount val="12"/>
                <c:pt idx="0">
                  <c:v>18005</c:v>
                </c:pt>
                <c:pt idx="1">
                  <c:v>17332</c:v>
                </c:pt>
                <c:pt idx="2">
                  <c:v>17410</c:v>
                </c:pt>
                <c:pt idx="3">
                  <c:v>17753</c:v>
                </c:pt>
                <c:pt idx="4">
                  <c:v>19822</c:v>
                </c:pt>
                <c:pt idx="5">
                  <c:v>20509</c:v>
                </c:pt>
                <c:pt idx="6">
                  <c:v>22656</c:v>
                </c:pt>
                <c:pt idx="7">
                  <c:v>17989</c:v>
                </c:pt>
                <c:pt idx="8">
                  <c:v>25078</c:v>
                </c:pt>
                <c:pt idx="9">
                  <c:v>24268</c:v>
                </c:pt>
                <c:pt idx="10">
                  <c:v>25932</c:v>
                </c:pt>
                <c:pt idx="11" formatCode="General">
                  <c:v>28082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dLbls>
            <c:dLbl>
              <c:idx val="0"/>
              <c:layout>
                <c:manualLayout>
                  <c:x val="1.45092466299006E-2"/>
                  <c:y val="-3.187101672791205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897108115467199E-2"/>
                  <c:y val="7.42054933693527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'2013'!$C$90:$C$101</c:f>
              <c:numCache>
                <c:formatCode>0</c:formatCode>
                <c:ptCount val="12"/>
                <c:pt idx="0">
                  <c:v>8879</c:v>
                </c:pt>
                <c:pt idx="1">
                  <c:v>8916</c:v>
                </c:pt>
                <c:pt idx="2">
                  <c:v>9379</c:v>
                </c:pt>
                <c:pt idx="3">
                  <c:v>10181</c:v>
                </c:pt>
                <c:pt idx="4">
                  <c:v>10922</c:v>
                </c:pt>
                <c:pt idx="5">
                  <c:v>10863</c:v>
                </c:pt>
                <c:pt idx="6">
                  <c:v>10460</c:v>
                </c:pt>
                <c:pt idx="7">
                  <c:v>11378</c:v>
                </c:pt>
                <c:pt idx="8">
                  <c:v>11357</c:v>
                </c:pt>
                <c:pt idx="9">
                  <c:v>12775</c:v>
                </c:pt>
                <c:pt idx="10">
                  <c:v>13734</c:v>
                </c:pt>
                <c:pt idx="11" formatCode="General">
                  <c:v>11427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763520"/>
        <c:axId val="98765056"/>
        <c:axId val="0"/>
      </c:bar3DChart>
      <c:catAx>
        <c:axId val="987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9876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7650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9876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84749684067269"/>
          <c:y val="0.43234309022015543"/>
          <c:w val="0.10659745309614076"/>
          <c:h val="0.15160755814787324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"/>
          <c:y val="3.80622844722265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'2013'!$A$242:$A$266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'2013'!$B$242:$B$266</c:f>
              <c:numCache>
                <c:formatCode>General</c:formatCode>
                <c:ptCount val="25"/>
                <c:pt idx="0">
                  <c:v>54410</c:v>
                </c:pt>
                <c:pt idx="1">
                  <c:v>44093</c:v>
                </c:pt>
                <c:pt idx="2">
                  <c:v>16648</c:v>
                </c:pt>
                <c:pt idx="3">
                  <c:v>1043</c:v>
                </c:pt>
                <c:pt idx="4">
                  <c:v>11972</c:v>
                </c:pt>
                <c:pt idx="5">
                  <c:v>127217</c:v>
                </c:pt>
                <c:pt idx="6">
                  <c:v>3354</c:v>
                </c:pt>
                <c:pt idx="7">
                  <c:v>3829</c:v>
                </c:pt>
                <c:pt idx="8">
                  <c:v>55253</c:v>
                </c:pt>
                <c:pt idx="9">
                  <c:v>2715</c:v>
                </c:pt>
                <c:pt idx="10">
                  <c:v>82165</c:v>
                </c:pt>
                <c:pt idx="11">
                  <c:v>86354</c:v>
                </c:pt>
                <c:pt idx="12">
                  <c:v>1992</c:v>
                </c:pt>
                <c:pt idx="13">
                  <c:v>2572</c:v>
                </c:pt>
                <c:pt idx="14">
                  <c:v>4030</c:v>
                </c:pt>
                <c:pt idx="15">
                  <c:v>10190</c:v>
                </c:pt>
                <c:pt idx="16">
                  <c:v>73249</c:v>
                </c:pt>
                <c:pt idx="17">
                  <c:v>28809</c:v>
                </c:pt>
                <c:pt idx="18">
                  <c:v>4080</c:v>
                </c:pt>
                <c:pt idx="19">
                  <c:v>9424</c:v>
                </c:pt>
                <c:pt idx="20">
                  <c:v>20317</c:v>
                </c:pt>
                <c:pt idx="21">
                  <c:v>135349</c:v>
                </c:pt>
                <c:pt idx="22">
                  <c:v>80187</c:v>
                </c:pt>
                <c:pt idx="23">
                  <c:v>624</c:v>
                </c:pt>
                <c:pt idx="24">
                  <c:v>2767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794496"/>
        <c:axId val="98812672"/>
        <c:axId val="0"/>
      </c:bar3DChart>
      <c:catAx>
        <c:axId val="9879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9881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812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9879449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Partners per MS </a:t>
            </a:r>
          </a:p>
        </c:rich>
      </c:tx>
      <c:layout>
        <c:manualLayout>
          <c:xMode val="edge"/>
          <c:yMode val="edge"/>
          <c:x val="0.45329827836310932"/>
          <c:y val="3.8062251878265008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147474865277091E-2"/>
          <c:y val="0.12071924038334837"/>
          <c:w val="0.96395305422900657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'2013'!$A$207:$A$231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'2013'!$B$207:$B$231</c:f>
              <c:numCache>
                <c:formatCode>General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19</c:v>
                </c:pt>
                <c:pt idx="3">
                  <c:v>7</c:v>
                </c:pt>
                <c:pt idx="4">
                  <c:v>15</c:v>
                </c:pt>
                <c:pt idx="5">
                  <c:v>13</c:v>
                </c:pt>
                <c:pt idx="6">
                  <c:v>19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20</c:v>
                </c:pt>
                <c:pt idx="11">
                  <c:v>18</c:v>
                </c:pt>
                <c:pt idx="12">
                  <c:v>9</c:v>
                </c:pt>
                <c:pt idx="13">
                  <c:v>3</c:v>
                </c:pt>
                <c:pt idx="14">
                  <c:v>12</c:v>
                </c:pt>
                <c:pt idx="15">
                  <c:v>21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11</c:v>
                </c:pt>
                <c:pt idx="20">
                  <c:v>20</c:v>
                </c:pt>
                <c:pt idx="21">
                  <c:v>19</c:v>
                </c:pt>
                <c:pt idx="22">
                  <c:v>18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843584"/>
        <c:axId val="109845120"/>
        <c:axId val="0"/>
      </c:bar3DChart>
      <c:catAx>
        <c:axId val="10984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984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84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984358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type</a:t>
            </a:r>
          </a:p>
        </c:rich>
      </c:tx>
      <c:layout>
        <c:manualLayout>
          <c:xMode val="edge"/>
          <c:yMode val="edge"/>
          <c:x val="0.44280442804428044"/>
          <c:y val="3.8062348045435575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034702949524614E-2"/>
          <c:y val="0.10312103171193922"/>
          <c:w val="0.8805499955711088"/>
          <c:h val="0.83066651442482242"/>
        </c:manualLayout>
      </c:layout>
      <c:bar3D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'2013'!$A$142:$A$153</c:f>
              <c:strCache>
                <c:ptCount val="12"/>
                <c:pt idx="0">
                  <c:v>NOT</c:v>
                </c:pt>
                <c:pt idx="1">
                  <c:v>NPB</c:v>
                </c:pt>
                <c:pt idx="2">
                  <c:v>NRC</c:v>
                </c:pt>
                <c:pt idx="3">
                  <c:v>REQ</c:v>
                </c:pt>
                <c:pt idx="4">
                  <c:v>RDL</c:v>
                </c:pt>
                <c:pt idx="5">
                  <c:v>RDN</c:v>
                </c:pt>
                <c:pt idx="6">
                  <c:v>RPB</c:v>
                </c:pt>
                <c:pt idx="7">
                  <c:v>RRS</c:v>
                </c:pt>
                <c:pt idx="8">
                  <c:v>RAI</c:v>
                </c:pt>
                <c:pt idx="9">
                  <c:v>AI</c:v>
                </c:pt>
                <c:pt idx="10">
                  <c:v>AIU</c:v>
                </c:pt>
                <c:pt idx="11">
                  <c:v>FE</c:v>
                </c:pt>
              </c:strCache>
            </c:strRef>
          </c:cat>
          <c:val>
            <c:numRef>
              <c:f>'2013'!$F$142:$F$153</c:f>
              <c:numCache>
                <c:formatCode>0</c:formatCode>
                <c:ptCount val="12"/>
                <c:pt idx="0">
                  <c:v>254836</c:v>
                </c:pt>
                <c:pt idx="1">
                  <c:v>11023</c:v>
                </c:pt>
                <c:pt idx="2">
                  <c:v>195657</c:v>
                </c:pt>
                <c:pt idx="3">
                  <c:v>130271</c:v>
                </c:pt>
                <c:pt idx="4">
                  <c:v>131699</c:v>
                </c:pt>
                <c:pt idx="5">
                  <c:v>726</c:v>
                </c:pt>
                <c:pt idx="6">
                  <c:v>4287</c:v>
                </c:pt>
                <c:pt idx="7">
                  <c:v>119131</c:v>
                </c:pt>
                <c:pt idx="8">
                  <c:v>6035</c:v>
                </c:pt>
                <c:pt idx="9">
                  <c:v>1685</c:v>
                </c:pt>
                <c:pt idx="10">
                  <c:v>3712</c:v>
                </c:pt>
                <c:pt idx="11">
                  <c:v>3581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878272"/>
        <c:axId val="109884160"/>
        <c:axId val="0"/>
      </c:bar3DChart>
      <c:catAx>
        <c:axId val="10987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988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8841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987827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Main message types per month</a:t>
            </a:r>
          </a:p>
        </c:rich>
      </c:tx>
      <c:layout>
        <c:manualLayout>
          <c:xMode val="edge"/>
          <c:yMode val="edge"/>
          <c:x val="0.39493652182366096"/>
          <c:y val="3.8194469233005103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722145991642326E-2"/>
          <c:y val="0.14295685356708235"/>
          <c:w val="0.81973341342794581"/>
          <c:h val="0.73157779330249917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'2013'!$B$90:$B$101</c:f>
              <c:numCache>
                <c:formatCode>0</c:formatCode>
                <c:ptCount val="12"/>
                <c:pt idx="0">
                  <c:v>18005</c:v>
                </c:pt>
                <c:pt idx="1">
                  <c:v>17332</c:v>
                </c:pt>
                <c:pt idx="2">
                  <c:v>17410</c:v>
                </c:pt>
                <c:pt idx="3">
                  <c:v>17753</c:v>
                </c:pt>
                <c:pt idx="4">
                  <c:v>19822</c:v>
                </c:pt>
                <c:pt idx="5">
                  <c:v>20509</c:v>
                </c:pt>
                <c:pt idx="6">
                  <c:v>22656</c:v>
                </c:pt>
                <c:pt idx="7">
                  <c:v>17989</c:v>
                </c:pt>
                <c:pt idx="8">
                  <c:v>25078</c:v>
                </c:pt>
                <c:pt idx="9">
                  <c:v>24268</c:v>
                </c:pt>
                <c:pt idx="10">
                  <c:v>25932</c:v>
                </c:pt>
                <c:pt idx="11" formatCode="General">
                  <c:v>28082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dLbls>
            <c:dLbl>
              <c:idx val="0"/>
              <c:layout>
                <c:manualLayout>
                  <c:x val="4.93827160493827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3827160493827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17283950617283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93827160493827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1728395061728392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3827160493827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1728395061728392E-3"/>
                  <c:y val="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9382716049382715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9382716049382715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6419753086419745E-3"/>
                  <c:y val="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4197530864197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9382716049382715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5400000" vert="horz" anchor="t" anchorCtr="0"/>
              <a:lstStyle/>
              <a:p>
                <a:pPr>
                  <a:defRPr/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'2013'!$C$90:$C$101</c:f>
              <c:numCache>
                <c:formatCode>0</c:formatCode>
                <c:ptCount val="12"/>
                <c:pt idx="0">
                  <c:v>8879</c:v>
                </c:pt>
                <c:pt idx="1">
                  <c:v>8916</c:v>
                </c:pt>
                <c:pt idx="2">
                  <c:v>9379</c:v>
                </c:pt>
                <c:pt idx="3">
                  <c:v>10181</c:v>
                </c:pt>
                <c:pt idx="4">
                  <c:v>10922</c:v>
                </c:pt>
                <c:pt idx="5">
                  <c:v>10863</c:v>
                </c:pt>
                <c:pt idx="6">
                  <c:v>10460</c:v>
                </c:pt>
                <c:pt idx="7">
                  <c:v>11378</c:v>
                </c:pt>
                <c:pt idx="8">
                  <c:v>11357</c:v>
                </c:pt>
                <c:pt idx="9">
                  <c:v>12775</c:v>
                </c:pt>
                <c:pt idx="10">
                  <c:v>13734</c:v>
                </c:pt>
                <c:pt idx="11" formatCode="General">
                  <c:v>11427</c:v>
                </c:pt>
              </c:numCache>
            </c:numRef>
          </c:val>
        </c:ser>
        <c:ser>
          <c:idx val="2"/>
          <c:order val="2"/>
          <c:tx>
            <c:v>Replies to requests</c:v>
          </c:tx>
          <c:invertIfNegative val="0"/>
          <c:dLbls>
            <c:dLbl>
              <c:idx val="0"/>
              <c:layout>
                <c:manualLayout>
                  <c:x val="7.40740740740740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64197530864197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0370370370370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40740740740740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76543209876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6419753086419745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64197530864197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17283950617283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17283950617283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4074074074074077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4197530864206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7.40740740740740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5400000" vert="horz" anchor="t" anchorCtr="0"/>
              <a:lstStyle/>
              <a:p>
                <a:pPr>
                  <a:defRPr/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'2013'!$D$90:$D$101</c:f>
              <c:numCache>
                <c:formatCode>0</c:formatCode>
                <c:ptCount val="12"/>
                <c:pt idx="0">
                  <c:v>8764</c:v>
                </c:pt>
                <c:pt idx="1">
                  <c:v>8237</c:v>
                </c:pt>
                <c:pt idx="2">
                  <c:v>9128</c:v>
                </c:pt>
                <c:pt idx="3">
                  <c:v>9620</c:v>
                </c:pt>
                <c:pt idx="4">
                  <c:v>9741</c:v>
                </c:pt>
                <c:pt idx="5">
                  <c:v>10073</c:v>
                </c:pt>
                <c:pt idx="6">
                  <c:v>11122</c:v>
                </c:pt>
                <c:pt idx="7">
                  <c:v>10350</c:v>
                </c:pt>
                <c:pt idx="8">
                  <c:v>10780</c:v>
                </c:pt>
                <c:pt idx="9">
                  <c:v>12353</c:v>
                </c:pt>
                <c:pt idx="10">
                  <c:v>12384</c:v>
                </c:pt>
                <c:pt idx="11" formatCode="General">
                  <c:v>11592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832448"/>
        <c:axId val="111481984"/>
        <c:axId val="0"/>
      </c:bar3DChart>
      <c:catAx>
        <c:axId val="1118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148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4819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183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12306794983962"/>
          <c:y val="0.41935378292152631"/>
          <c:w val="0.12549071643822299"/>
          <c:h val="0.19498329392590313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ECRIS average number of messages per month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'Year comparison'!$C$22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5788111014722E-2"/>
                  <c:y val="-3.8231780167264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636064918844837E-2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'Year comparison'!$A$23:$A$26</c:f>
              <c:numCache>
                <c:formatCode>yyyy</c:formatCode>
                <c:ptCount val="4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42005</c:v>
                </c:pt>
              </c:numCache>
            </c:numRef>
          </c:cat>
          <c:val>
            <c:numRef>
              <c:f>'Year comparison'!$C$23:$C$26</c:f>
              <c:numCache>
                <c:formatCode>0</c:formatCode>
                <c:ptCount val="4"/>
                <c:pt idx="0">
                  <c:v>37567.75</c:v>
                </c:pt>
                <c:pt idx="1">
                  <c:v>71886.916666666672</c:v>
                </c:pt>
                <c:pt idx="2">
                  <c:v>104719.91666666667</c:v>
                </c:pt>
                <c:pt idx="3">
                  <c:v>150994.16666666666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506944"/>
        <c:axId val="109508480"/>
        <c:axId val="0"/>
      </c:bar3DChart>
      <c:dateAx>
        <c:axId val="10950694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109508480"/>
        <c:crosses val="autoZero"/>
        <c:auto val="1"/>
        <c:lblOffset val="100"/>
        <c:baseTimeUnit val="years"/>
      </c:dateAx>
      <c:valAx>
        <c:axId val="1095084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950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Notifications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1532065664363893"/>
          <c:y val="3.80622844722265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'2013'!$A$277:$A$301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'2013'!$B$277:$B$301</c:f>
              <c:numCache>
                <c:formatCode>General</c:formatCode>
                <c:ptCount val="25"/>
                <c:pt idx="0">
                  <c:v>13129</c:v>
                </c:pt>
                <c:pt idx="1">
                  <c:v>28194</c:v>
                </c:pt>
                <c:pt idx="2">
                  <c:v>98</c:v>
                </c:pt>
                <c:pt idx="3">
                  <c:v>236</c:v>
                </c:pt>
                <c:pt idx="4">
                  <c:v>1926</c:v>
                </c:pt>
                <c:pt idx="5">
                  <c:v>46793</c:v>
                </c:pt>
                <c:pt idx="6">
                  <c:v>1809</c:v>
                </c:pt>
                <c:pt idx="7">
                  <c:v>100</c:v>
                </c:pt>
                <c:pt idx="8">
                  <c:v>35321</c:v>
                </c:pt>
                <c:pt idx="9">
                  <c:v>704</c:v>
                </c:pt>
                <c:pt idx="10">
                  <c:v>34200</c:v>
                </c:pt>
                <c:pt idx="11">
                  <c:v>37090</c:v>
                </c:pt>
                <c:pt idx="13">
                  <c:v>2</c:v>
                </c:pt>
                <c:pt idx="14">
                  <c:v>1</c:v>
                </c:pt>
                <c:pt idx="15">
                  <c:v>1218</c:v>
                </c:pt>
                <c:pt idx="16">
                  <c:v>41879</c:v>
                </c:pt>
                <c:pt idx="17">
                  <c:v>136</c:v>
                </c:pt>
                <c:pt idx="18">
                  <c:v>3126</c:v>
                </c:pt>
                <c:pt idx="19">
                  <c:v>91</c:v>
                </c:pt>
                <c:pt idx="20">
                  <c:v>1693</c:v>
                </c:pt>
                <c:pt idx="21">
                  <c:v>6883</c:v>
                </c:pt>
                <c:pt idx="22">
                  <c:v>77</c:v>
                </c:pt>
                <c:pt idx="23">
                  <c:v>101</c:v>
                </c:pt>
                <c:pt idx="24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499136"/>
        <c:axId val="111500672"/>
        <c:axId val="0"/>
      </c:bar3DChart>
      <c:catAx>
        <c:axId val="1114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150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50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149913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"/>
          <c:y val="3.8062276385002689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'2013'!$A$312:$A$336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'2013'!$B$312:$B$336</c:f>
              <c:numCache>
                <c:formatCode>General</c:formatCode>
                <c:ptCount val="25"/>
                <c:pt idx="0">
                  <c:v>25202</c:v>
                </c:pt>
                <c:pt idx="1">
                  <c:v>1326</c:v>
                </c:pt>
                <c:pt idx="2">
                  <c:v>48</c:v>
                </c:pt>
                <c:pt idx="3">
                  <c:v>16</c:v>
                </c:pt>
                <c:pt idx="4">
                  <c:v>3949</c:v>
                </c:pt>
                <c:pt idx="5">
                  <c:v>48726</c:v>
                </c:pt>
                <c:pt idx="6">
                  <c:v>31</c:v>
                </c:pt>
                <c:pt idx="7">
                  <c:v>28</c:v>
                </c:pt>
                <c:pt idx="8">
                  <c:v>981</c:v>
                </c:pt>
                <c:pt idx="9">
                  <c:v>820</c:v>
                </c:pt>
                <c:pt idx="10">
                  <c:v>11049</c:v>
                </c:pt>
                <c:pt idx="11">
                  <c:v>28823</c:v>
                </c:pt>
                <c:pt idx="13">
                  <c:v>2</c:v>
                </c:pt>
                <c:pt idx="14">
                  <c:v>64</c:v>
                </c:pt>
                <c:pt idx="15">
                  <c:v>552</c:v>
                </c:pt>
                <c:pt idx="16">
                  <c:v>597</c:v>
                </c:pt>
                <c:pt idx="17">
                  <c:v>546</c:v>
                </c:pt>
                <c:pt idx="18">
                  <c:v>315</c:v>
                </c:pt>
                <c:pt idx="19">
                  <c:v>109</c:v>
                </c:pt>
                <c:pt idx="20">
                  <c:v>3989</c:v>
                </c:pt>
                <c:pt idx="21">
                  <c:v>2657</c:v>
                </c:pt>
                <c:pt idx="22">
                  <c:v>397</c:v>
                </c:pt>
                <c:pt idx="23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529984"/>
        <c:axId val="111531520"/>
        <c:axId val="0"/>
      </c:bar3DChart>
      <c:catAx>
        <c:axId val="11152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153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53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152998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Interconnection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ratio</a:t>
            </a:r>
            <a:r>
              <a:rPr lang="en-GB" sz="1050">
                <a:latin typeface="Arial" pitchFamily="34" charset="0"/>
                <a:cs typeface="Arial" pitchFamily="34" charset="0"/>
              </a:rPr>
              <a:t> per month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00">
                <a:latin typeface="Arial" pitchFamily="34" charset="0"/>
                <a:cs typeface="Arial" pitchFamily="34" charset="0"/>
              </a:rPr>
              <a:t>(based on the number of "live" MS)</a:t>
            </a:r>
          </a:p>
        </c:rich>
      </c:tx>
      <c:layout>
        <c:manualLayout>
          <c:xMode val="edge"/>
          <c:yMode val="edge"/>
          <c:x val="0.33295291147490813"/>
          <c:y val="3.806239301480089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390004438763033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'2013'!$C$18:$C$29</c:f>
              <c:numCache>
                <c:formatCode>0%</c:formatCode>
                <c:ptCount val="12"/>
                <c:pt idx="0">
                  <c:v>0.4631578947368421</c:v>
                </c:pt>
                <c:pt idx="1">
                  <c:v>0.50952380952380949</c:v>
                </c:pt>
                <c:pt idx="2">
                  <c:v>0.47186147186147187</c:v>
                </c:pt>
                <c:pt idx="3">
                  <c:v>0.53896103896103897</c:v>
                </c:pt>
                <c:pt idx="4">
                  <c:v>0.53679653679653683</c:v>
                </c:pt>
                <c:pt idx="5">
                  <c:v>0.55194805194805197</c:v>
                </c:pt>
                <c:pt idx="6">
                  <c:v>0.52766798418972327</c:v>
                </c:pt>
                <c:pt idx="7">
                  <c:v>0.51086956521739135</c:v>
                </c:pt>
                <c:pt idx="8">
                  <c:v>0.48833333333333334</c:v>
                </c:pt>
                <c:pt idx="9">
                  <c:v>0.49666666666666665</c:v>
                </c:pt>
                <c:pt idx="10">
                  <c:v>0.56000000000000005</c:v>
                </c:pt>
                <c:pt idx="11">
                  <c:v>0.60333333333333339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896448"/>
        <c:axId val="111897984"/>
        <c:axId val="0"/>
      </c:bar3DChart>
      <c:catAx>
        <c:axId val="11189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189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897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189644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Notifications</a:t>
            </a:r>
          </a:p>
        </c:rich>
      </c:tx>
      <c:layout>
        <c:manualLayout>
          <c:xMode val="edge"/>
          <c:yMode val="edge"/>
          <c:x val="0.38265831955677027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'2013'!$A$165:$A$166</c:f>
              <c:strCache>
                <c:ptCount val="2"/>
                <c:pt idx="0">
                  <c:v>New conviction</c:v>
                </c:pt>
                <c:pt idx="1">
                  <c:v>Conviction update</c:v>
                </c:pt>
              </c:strCache>
            </c:strRef>
          </c:cat>
          <c:val>
            <c:numRef>
              <c:f>'2013'!$D$165:$D$166</c:f>
              <c:numCache>
                <c:formatCode>0</c:formatCode>
                <c:ptCount val="2"/>
                <c:pt idx="0">
                  <c:v>194040</c:v>
                </c:pt>
                <c:pt idx="1">
                  <c:v>60695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979464476130121"/>
          <c:y val="0.3219604761021479"/>
          <c:w val="0.36611464621332324"/>
          <c:h val="0.471571362734993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Requests</a:t>
            </a:r>
          </a:p>
        </c:rich>
      </c:tx>
      <c:layout>
        <c:manualLayout>
          <c:xMode val="edge"/>
          <c:yMode val="edge"/>
          <c:x val="0.42884961981943015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91634331174802E-2"/>
          <c:y val="0.23086861934074143"/>
          <c:w val="0.30881801231787875"/>
          <c:h val="0.696274213215895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'2013'!$A$170:$A$171</c:f>
              <c:strCache>
                <c:ptCount val="2"/>
                <c:pt idx="0">
                  <c:v>For criminal proceedings</c:v>
                </c:pt>
                <c:pt idx="1">
                  <c:v>For other purposes</c:v>
                </c:pt>
              </c:strCache>
            </c:strRef>
          </c:cat>
          <c:val>
            <c:numRef>
              <c:f>'2013'!$D$170:$D$171</c:f>
              <c:numCache>
                <c:formatCode>0</c:formatCode>
                <c:ptCount val="2"/>
                <c:pt idx="0">
                  <c:v>104500</c:v>
                </c:pt>
                <c:pt idx="1">
                  <c:v>25125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78852376287587"/>
          <c:y val="0.35212895272443101"/>
          <c:w val="0.46147489422936927"/>
          <c:h val="0.422999917772750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Replies to notifications</a:t>
            </a:r>
          </a:p>
        </c:rich>
      </c:tx>
      <c:layout>
        <c:manualLayout>
          <c:xMode val="edge"/>
          <c:yMode val="edge"/>
          <c:x val="0.46595756184368031"/>
          <c:y val="4.70586299365391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413196726262937E-2"/>
          <c:y val="0.25352254524570333"/>
          <c:w val="0.4807683507021035"/>
          <c:h val="0.66964214573600722"/>
        </c:manualLayout>
      </c:layout>
      <c:pieChart>
        <c:varyColors val="1"/>
        <c:ser>
          <c:idx val="2"/>
          <c:order val="0"/>
          <c:dLbls>
            <c:dLbl>
              <c:idx val="0"/>
              <c:layout>
                <c:manualLayout>
                  <c:x val="0.22382133511772259"/>
                  <c:y val="0.231738416146778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0937990341276075"/>
                  <c:y val="0.349433302326964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254194080238225"/>
                  <c:y val="0.483987513997795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6178420710852773"/>
                  <c:y val="0.603389093153583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5229099652753351"/>
                  <c:y val="-3.22982659776270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'2013'!$A$185:$D$189</c:f>
              <c:strCache>
                <c:ptCount val="5"/>
                <c:pt idx="0">
                  <c:v>fingerprints do not match</c:v>
                </c:pt>
                <c:pt idx="1">
                  <c:v>multiple persons found</c:v>
                </c:pt>
                <c:pt idx="2">
                  <c:v>person deceased</c:v>
                </c:pt>
                <c:pt idx="3">
                  <c:v>not a national </c:v>
                </c:pt>
                <c:pt idx="4">
                  <c:v>notification receipt</c:v>
                </c:pt>
              </c:strCache>
            </c:strRef>
          </c:cat>
          <c:val>
            <c:numRef>
              <c:f>'2013'!$E$185:$E$189</c:f>
              <c:numCache>
                <c:formatCode>General</c:formatCode>
                <c:ptCount val="5"/>
                <c:pt idx="0">
                  <c:v>6</c:v>
                </c:pt>
                <c:pt idx="1">
                  <c:v>2396</c:v>
                </c:pt>
                <c:pt idx="2">
                  <c:v>315</c:v>
                </c:pt>
                <c:pt idx="3">
                  <c:v>7389</c:v>
                </c:pt>
                <c:pt idx="4">
                  <c:v>177470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146528434634443"/>
          <c:y val="0.3462461985832691"/>
          <c:w val="0.47331816757484874"/>
          <c:h val="0.63865283485303115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Replies to requests</a:t>
            </a:r>
          </a:p>
        </c:rich>
      </c:tx>
      <c:layout>
        <c:manualLayout>
          <c:xMode val="edge"/>
          <c:yMode val="edge"/>
          <c:x val="0.32370523160027315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527640742501042E-2"/>
          <c:y val="0.24705910099482223"/>
          <c:w val="0.29771630464219884"/>
          <c:h val="0.67198849073477374"/>
        </c:manualLayout>
      </c:layout>
      <c:pieChart>
        <c:varyColors val="1"/>
        <c:ser>
          <c:idx val="4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explosion val="8"/>
          </c:dPt>
          <c:dLbls>
            <c:dLbl>
              <c:idx val="0"/>
              <c:layout>
                <c:manualLayout>
                  <c:x val="-5.3581364829396322E-3"/>
                  <c:y val="-0.420982419492677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32298320209973752"/>
                  <c:y val="-5.73604658518978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5993779527559058"/>
                  <c:y val="0.2396515411715761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4518320209973754"/>
                  <c:y val="0.38311073199732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3489081364829395"/>
                  <c:y val="0.481883886439592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2097498687664042"/>
                  <c:y val="0.621455531614221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'2013'!$A$194:$A$199</c:f>
              <c:strCache>
                <c:ptCount val="6"/>
                <c:pt idx="0">
                  <c:v>Response: no convictions</c:v>
                </c:pt>
                <c:pt idx="1">
                  <c:v>Response: one or more convictions</c:v>
                </c:pt>
                <c:pt idx="2">
                  <c:v>Denial</c:v>
                </c:pt>
                <c:pt idx="3">
                  <c:v>multiple persons found</c:v>
                </c:pt>
                <c:pt idx="4">
                  <c:v>person deceased</c:v>
                </c:pt>
                <c:pt idx="5">
                  <c:v>not a national</c:v>
                </c:pt>
              </c:strCache>
            </c:strRef>
          </c:cat>
          <c:val>
            <c:numRef>
              <c:f>'2013'!$F$194:$F$199</c:f>
              <c:numCache>
                <c:formatCode>General</c:formatCode>
                <c:ptCount val="6"/>
                <c:pt idx="0">
                  <c:v>80926</c:v>
                </c:pt>
                <c:pt idx="1">
                  <c:v>38251</c:v>
                </c:pt>
                <c:pt idx="2" formatCode="0">
                  <c:v>726</c:v>
                </c:pt>
                <c:pt idx="3">
                  <c:v>1414</c:v>
                </c:pt>
                <c:pt idx="4">
                  <c:v>30</c:v>
                </c:pt>
                <c:pt idx="5">
                  <c:v>2839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890540058931538"/>
          <c:y val="0.24689066459972567"/>
          <c:w val="0.60607338258791577"/>
          <c:h val="0.731642300219782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requests</a:t>
            </a:r>
          </a:p>
        </c:rich>
      </c:tx>
      <c:layout>
        <c:manualLayout>
          <c:xMode val="edge"/>
          <c:yMode val="edge"/>
          <c:x val="0.26649383571278401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2"/>
              <c:layout>
                <c:manualLayout>
                  <c:x val="1.6516750435228473E-4"/>
                  <c:y val="2.14135310174686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'2013'!$A$178:$A$180</c:f>
              <c:strCache>
                <c:ptCount val="3"/>
                <c:pt idx="0">
                  <c:v>EU</c:v>
                </c:pt>
                <c:pt idx="1">
                  <c:v>Third country</c:v>
                </c:pt>
                <c:pt idx="2">
                  <c:v>Stateless</c:v>
                </c:pt>
              </c:strCache>
            </c:strRef>
          </c:cat>
          <c:val>
            <c:numRef>
              <c:f>'2013'!$D$178:$D$180</c:f>
              <c:numCache>
                <c:formatCode>0</c:formatCode>
                <c:ptCount val="3"/>
                <c:pt idx="0">
                  <c:v>115412</c:v>
                </c:pt>
                <c:pt idx="1">
                  <c:v>14164</c:v>
                </c:pt>
                <c:pt idx="2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01"/>
          <c:y val="0.33815074221200081"/>
          <c:w val="0.28585927184120935"/>
          <c:h val="0.365309301744491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Responses (Responses, Problems, Denial)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8239888136344621"/>
          <c:y val="3.806232387258341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'2013'!$A$349:$A$373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'2013'!$B$349:$B$373</c:f>
              <c:numCache>
                <c:formatCode>General</c:formatCode>
                <c:ptCount val="25"/>
                <c:pt idx="0">
                  <c:v>5742</c:v>
                </c:pt>
                <c:pt idx="1">
                  <c:v>3513</c:v>
                </c:pt>
                <c:pt idx="2">
                  <c:v>1767</c:v>
                </c:pt>
                <c:pt idx="3">
                  <c:v>46</c:v>
                </c:pt>
                <c:pt idx="4">
                  <c:v>1895</c:v>
                </c:pt>
                <c:pt idx="5">
                  <c:v>15410</c:v>
                </c:pt>
                <c:pt idx="6">
                  <c:v>673</c:v>
                </c:pt>
                <c:pt idx="7">
                  <c:v>1198</c:v>
                </c:pt>
                <c:pt idx="8">
                  <c:v>5824</c:v>
                </c:pt>
                <c:pt idx="9">
                  <c:v>485</c:v>
                </c:pt>
                <c:pt idx="10">
                  <c:v>9158</c:v>
                </c:pt>
                <c:pt idx="11">
                  <c:v>4982</c:v>
                </c:pt>
                <c:pt idx="12">
                  <c:v>837</c:v>
                </c:pt>
                <c:pt idx="13">
                  <c:v>1248</c:v>
                </c:pt>
                <c:pt idx="14">
                  <c:v>1797</c:v>
                </c:pt>
                <c:pt idx="15">
                  <c:v>2209</c:v>
                </c:pt>
                <c:pt idx="16">
                  <c:v>6418</c:v>
                </c:pt>
                <c:pt idx="17">
                  <c:v>7453</c:v>
                </c:pt>
                <c:pt idx="18">
                  <c:v>180</c:v>
                </c:pt>
                <c:pt idx="19">
                  <c:v>2164</c:v>
                </c:pt>
                <c:pt idx="20">
                  <c:v>2338</c:v>
                </c:pt>
                <c:pt idx="21">
                  <c:v>37982</c:v>
                </c:pt>
                <c:pt idx="22">
                  <c:v>9990</c:v>
                </c:pt>
                <c:pt idx="23">
                  <c:v>115</c:v>
                </c:pt>
                <c:pt idx="24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301952"/>
        <c:axId val="112303488"/>
        <c:axId val="0"/>
      </c:bar3DChart>
      <c:catAx>
        <c:axId val="11230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30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0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30195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% of Request  with expired deadline per destination</a:t>
            </a:r>
          </a:p>
        </c:rich>
      </c:tx>
      <c:layout>
        <c:manualLayout>
          <c:xMode val="edge"/>
          <c:yMode val="edge"/>
          <c:x val="0.31038242263432203"/>
          <c:y val="4.0953334697716011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'2013'!$C$421</c:f>
              <c:strCache>
                <c:ptCount val="1"/>
                <c:pt idx="0">
                  <c:v>% of Req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'2013'!$A$422:$A$446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'2013'!$C$422:$C$446</c:f>
              <c:numCache>
                <c:formatCode>0.0%</c:formatCode>
                <c:ptCount val="25"/>
                <c:pt idx="0">
                  <c:v>6.064806792583608E-3</c:v>
                </c:pt>
                <c:pt idx="1">
                  <c:v>1.1114198388441233E-3</c:v>
                </c:pt>
                <c:pt idx="2">
                  <c:v>1.2644889357218124E-2</c:v>
                </c:pt>
                <c:pt idx="3">
                  <c:v>0.7421875</c:v>
                </c:pt>
                <c:pt idx="4">
                  <c:v>3.1695721077654518E-3</c:v>
                </c:pt>
                <c:pt idx="5">
                  <c:v>6.550500161342368E-2</c:v>
                </c:pt>
                <c:pt idx="6">
                  <c:v>5.2486187845303865E-2</c:v>
                </c:pt>
                <c:pt idx="7">
                  <c:v>3.5031847133757961E-2</c:v>
                </c:pt>
                <c:pt idx="8">
                  <c:v>2.6548672566371681E-2</c:v>
                </c:pt>
                <c:pt idx="9">
                  <c:v>1.9723865877712032E-2</c:v>
                </c:pt>
                <c:pt idx="10">
                  <c:v>3.3586479837415764E-2</c:v>
                </c:pt>
                <c:pt idx="11">
                  <c:v>2.4841017488076312E-2</c:v>
                </c:pt>
                <c:pt idx="12">
                  <c:v>0.39878542510121456</c:v>
                </c:pt>
                <c:pt idx="13">
                  <c:v>1.4342629482071713E-2</c:v>
                </c:pt>
                <c:pt idx="14">
                  <c:v>0.59861248761149655</c:v>
                </c:pt>
                <c:pt idx="15">
                  <c:v>5.5269922879177376E-2</c:v>
                </c:pt>
                <c:pt idx="16">
                  <c:v>0.12771666219479474</c:v>
                </c:pt>
                <c:pt idx="17">
                  <c:v>2.0903122068873108E-2</c:v>
                </c:pt>
                <c:pt idx="18">
                  <c:v>4.1025641025641026E-2</c:v>
                </c:pt>
                <c:pt idx="19">
                  <c:v>0.32134831460674157</c:v>
                </c:pt>
                <c:pt idx="20">
                  <c:v>1.8151118615449557E-2</c:v>
                </c:pt>
                <c:pt idx="21">
                  <c:v>6.2778013132810839E-2</c:v>
                </c:pt>
                <c:pt idx="22">
                  <c:v>0.78458327335540523</c:v>
                </c:pt>
                <c:pt idx="23">
                  <c:v>9.3959731543624164E-2</c:v>
                </c:pt>
                <c:pt idx="24">
                  <c:v>2.7434842249657062E-3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205824"/>
        <c:axId val="112207360"/>
        <c:axId val="0"/>
      </c:bar3DChart>
      <c:catAx>
        <c:axId val="11220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20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20736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20582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</a:t>
            </a:r>
            <a:r>
              <a:rPr lang="en-GB" baseline="0"/>
              <a:t> of Notifications, Requests and Replies per year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'Year comparison'!$B$42</c:f>
              <c:strCache>
                <c:ptCount val="1"/>
                <c:pt idx="0">
                  <c:v>NOT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5698921829295455E-3"/>
                  <c:y val="-2.4637675134655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89605570326748E-2"/>
                  <c:y val="-3.5196678763792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326163520337879E-2"/>
                  <c:y val="-2.4637675134655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'Year comparison'!$A$43:$A$46</c:f>
              <c:numCache>
                <c:formatCode>yyyy</c:formatCode>
                <c:ptCount val="4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</c:numCache>
            </c:numRef>
          </c:cat>
          <c:val>
            <c:numRef>
              <c:f>'Year comparison'!$B$43:$B$46</c:f>
              <c:numCache>
                <c:formatCode>0</c:formatCode>
                <c:ptCount val="4"/>
                <c:pt idx="0">
                  <c:v>76611</c:v>
                </c:pt>
                <c:pt idx="1">
                  <c:v>254836</c:v>
                </c:pt>
                <c:pt idx="2">
                  <c:v>365653</c:v>
                </c:pt>
                <c:pt idx="3">
                  <c:v>431209</c:v>
                </c:pt>
              </c:numCache>
            </c:numRef>
          </c:val>
        </c:ser>
        <c:ser>
          <c:idx val="1"/>
          <c:order val="1"/>
          <c:tx>
            <c:strRef>
              <c:f>'Year comparison'!$C$42</c:f>
              <c:strCache>
                <c:ptCount val="1"/>
                <c:pt idx="0">
                  <c:v>REQ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025800819629925E-2"/>
                  <c:y val="-4.223601451655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507336236234398E-2"/>
                  <c:y val="-2.8157343011034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802866126028031E-2"/>
                  <c:y val="-2.4637675134654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'Year comparison'!$A$43:$A$46</c:f>
              <c:numCache>
                <c:formatCode>yyyy</c:formatCode>
                <c:ptCount val="4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</c:numCache>
            </c:numRef>
          </c:cat>
          <c:val>
            <c:numRef>
              <c:f>'Year comparison'!$C$43:$C$46</c:f>
              <c:numCache>
                <c:formatCode>0</c:formatCode>
                <c:ptCount val="4"/>
                <c:pt idx="0">
                  <c:v>50909</c:v>
                </c:pt>
                <c:pt idx="1">
                  <c:v>130271</c:v>
                </c:pt>
                <c:pt idx="2">
                  <c:v>211292</c:v>
                </c:pt>
                <c:pt idx="3">
                  <c:v>296776</c:v>
                </c:pt>
              </c:numCache>
            </c:numRef>
          </c:val>
        </c:ser>
        <c:ser>
          <c:idx val="2"/>
          <c:order val="2"/>
          <c:tx>
            <c:strRef>
              <c:f>'Year comparison'!$D$42</c:f>
              <c:strCache>
                <c:ptCount val="1"/>
                <c:pt idx="0">
                  <c:v>RREQ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2037702929900616E-2"/>
                  <c:y val="-4.377469137085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2430641690826524E-2"/>
                  <c:y val="-2.9101001996787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372758308957576E-2"/>
                  <c:y val="-1.759833938189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'Year comparison'!$A$43:$A$46</c:f>
              <c:numCache>
                <c:formatCode>yyyy</c:formatCode>
                <c:ptCount val="4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</c:numCache>
            </c:numRef>
          </c:cat>
          <c:val>
            <c:numRef>
              <c:f>'Year comparison'!$D$43:$D$46</c:f>
              <c:numCache>
                <c:formatCode>0</c:formatCode>
                <c:ptCount val="4"/>
                <c:pt idx="0">
                  <c:v>47454</c:v>
                </c:pt>
                <c:pt idx="1">
                  <c:v>124144</c:v>
                </c:pt>
                <c:pt idx="2">
                  <c:v>206647</c:v>
                </c:pt>
                <c:pt idx="3">
                  <c:v>290519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762560"/>
        <c:axId val="121764096"/>
        <c:axId val="0"/>
      </c:bar3DChart>
      <c:dateAx>
        <c:axId val="121762560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121764096"/>
        <c:crosses val="autoZero"/>
        <c:auto val="1"/>
        <c:lblOffset val="100"/>
        <c:baseTimeUnit val="years"/>
      </c:dateAx>
      <c:valAx>
        <c:axId val="1217640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1762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month</a:t>
            </a:r>
          </a:p>
        </c:rich>
      </c:tx>
      <c:layout>
        <c:manualLayout>
          <c:xMode val="edge"/>
          <c:yMode val="edge"/>
          <c:x val="0.3884913629199741"/>
          <c:y val="3.806239301480089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095940959409596E-2"/>
          <c:y val="0.12215377358599901"/>
          <c:w val="0.88007380073800734"/>
          <c:h val="0.7757969781642991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'2014'!$A$65:$A$76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'2014'!$B$65:$B$76</c:f>
              <c:numCache>
                <c:formatCode>General</c:formatCode>
                <c:ptCount val="12"/>
                <c:pt idx="0">
                  <c:v>89339</c:v>
                </c:pt>
                <c:pt idx="1">
                  <c:v>94509</c:v>
                </c:pt>
                <c:pt idx="2">
                  <c:v>99518</c:v>
                </c:pt>
                <c:pt idx="3">
                  <c:v>105241</c:v>
                </c:pt>
                <c:pt idx="4">
                  <c:v>105423</c:v>
                </c:pt>
                <c:pt idx="5">
                  <c:v>93997</c:v>
                </c:pt>
                <c:pt idx="6">
                  <c:v>113369</c:v>
                </c:pt>
                <c:pt idx="7">
                  <c:v>81868</c:v>
                </c:pt>
                <c:pt idx="8">
                  <c:v>110915</c:v>
                </c:pt>
                <c:pt idx="9">
                  <c:v>124159</c:v>
                </c:pt>
                <c:pt idx="10">
                  <c:v>123751</c:v>
                </c:pt>
                <c:pt idx="11">
                  <c:v>114550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221184"/>
        <c:axId val="112067328"/>
        <c:axId val="0"/>
      </c:bar3DChart>
      <c:catAx>
        <c:axId val="11222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6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673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22118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Active Interconnections per month</a:t>
            </a:r>
          </a:p>
        </c:rich>
      </c:tx>
      <c:layout>
        <c:manualLayout>
          <c:xMode val="edge"/>
          <c:yMode val="edge"/>
          <c:x val="0.36023685970514496"/>
          <c:y val="3.8062404042868266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058835455698961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'2014'!$B$18:$B$29</c:f>
              <c:numCache>
                <c:formatCode>0</c:formatCode>
                <c:ptCount val="12"/>
                <c:pt idx="0">
                  <c:v>350</c:v>
                </c:pt>
                <c:pt idx="1">
                  <c:v>364</c:v>
                </c:pt>
                <c:pt idx="2">
                  <c:v>380</c:v>
                </c:pt>
                <c:pt idx="3">
                  <c:v>394</c:v>
                </c:pt>
                <c:pt idx="4">
                  <c:v>404</c:v>
                </c:pt>
                <c:pt idx="5">
                  <c:v>426</c:v>
                </c:pt>
                <c:pt idx="6">
                  <c:v>426</c:v>
                </c:pt>
                <c:pt idx="7">
                  <c:v>428</c:v>
                </c:pt>
                <c:pt idx="8">
                  <c:v>448</c:v>
                </c:pt>
                <c:pt idx="9">
                  <c:v>458</c:v>
                </c:pt>
                <c:pt idx="10">
                  <c:v>470</c:v>
                </c:pt>
                <c:pt idx="11" formatCode="General">
                  <c:v>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100480"/>
        <c:axId val="112102016"/>
        <c:axId val="0"/>
      </c:bar3DChart>
      <c:catAx>
        <c:axId val="11210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10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020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100480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New transactions per month</a:t>
            </a:r>
          </a:p>
        </c:rich>
      </c:tx>
      <c:layout>
        <c:manualLayout>
          <c:xMode val="edge"/>
          <c:yMode val="edge"/>
          <c:x val="0.38638267312334035"/>
          <c:y val="3.8194545622316764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837152818436273E-2"/>
          <c:y val="0.1002319737552835"/>
          <c:w val="0.81055126464177929"/>
          <c:h val="0.83078947567226591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'2014'!$B$90:$B$101</c:f>
              <c:numCache>
                <c:formatCode>0</c:formatCode>
                <c:ptCount val="12"/>
                <c:pt idx="0">
                  <c:v>22017</c:v>
                </c:pt>
                <c:pt idx="1">
                  <c:v>27526</c:v>
                </c:pt>
                <c:pt idx="2">
                  <c:v>30311</c:v>
                </c:pt>
                <c:pt idx="3">
                  <c:v>32873</c:v>
                </c:pt>
                <c:pt idx="4">
                  <c:v>34132</c:v>
                </c:pt>
                <c:pt idx="5">
                  <c:v>28515</c:v>
                </c:pt>
                <c:pt idx="6">
                  <c:v>32418</c:v>
                </c:pt>
                <c:pt idx="7">
                  <c:v>21704</c:v>
                </c:pt>
                <c:pt idx="8">
                  <c:v>33844</c:v>
                </c:pt>
                <c:pt idx="9">
                  <c:v>35226</c:v>
                </c:pt>
                <c:pt idx="10">
                  <c:v>36322</c:v>
                </c:pt>
                <c:pt idx="11" formatCode="General">
                  <c:v>30765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dLbls>
            <c:dLbl>
              <c:idx val="0"/>
              <c:layout>
                <c:manualLayout>
                  <c:x val="1.45092466299006E-2"/>
                  <c:y val="-3.187101672791205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897108115467199E-2"/>
                  <c:y val="7.42054933693527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'2014'!$C$90:$C$101</c:f>
              <c:numCache>
                <c:formatCode>0</c:formatCode>
                <c:ptCount val="12"/>
                <c:pt idx="0">
                  <c:v>16174</c:v>
                </c:pt>
                <c:pt idx="1">
                  <c:v>14762</c:v>
                </c:pt>
                <c:pt idx="2">
                  <c:v>17195</c:v>
                </c:pt>
                <c:pt idx="3">
                  <c:v>17404</c:v>
                </c:pt>
                <c:pt idx="4">
                  <c:v>16352</c:v>
                </c:pt>
                <c:pt idx="5">
                  <c:v>16912</c:v>
                </c:pt>
                <c:pt idx="6">
                  <c:v>17864</c:v>
                </c:pt>
                <c:pt idx="7">
                  <c:v>15495</c:v>
                </c:pt>
                <c:pt idx="8">
                  <c:v>18172</c:v>
                </c:pt>
                <c:pt idx="9">
                  <c:v>21903</c:v>
                </c:pt>
                <c:pt idx="10">
                  <c:v>20790</c:v>
                </c:pt>
                <c:pt idx="11" formatCode="General">
                  <c:v>18269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13696"/>
        <c:axId val="112015232"/>
        <c:axId val="0"/>
      </c:bar3DChart>
      <c:catAx>
        <c:axId val="1120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1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152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13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84749684067269"/>
          <c:y val="0.43234309022015543"/>
          <c:w val="0.10659745309614076"/>
          <c:h val="0.15160755814787324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"/>
          <c:y val="3.80622844722265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'2014'!$A$249:$A$274</c:f>
              <c:strCache>
                <c:ptCount val="26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SI</c:v>
                </c:pt>
                <c:pt idx="25">
                  <c:v>SK</c:v>
                </c:pt>
              </c:strCache>
            </c:strRef>
          </c:cat>
          <c:val>
            <c:numRef>
              <c:f>'2014'!$B$249:$B$274</c:f>
              <c:numCache>
                <c:formatCode>General</c:formatCode>
                <c:ptCount val="26"/>
                <c:pt idx="0">
                  <c:v>61345</c:v>
                </c:pt>
                <c:pt idx="1">
                  <c:v>43945</c:v>
                </c:pt>
                <c:pt idx="2">
                  <c:v>36441</c:v>
                </c:pt>
                <c:pt idx="3">
                  <c:v>4783</c:v>
                </c:pt>
                <c:pt idx="4">
                  <c:v>33050</c:v>
                </c:pt>
                <c:pt idx="5">
                  <c:v>245831</c:v>
                </c:pt>
                <c:pt idx="6">
                  <c:v>6993</c:v>
                </c:pt>
                <c:pt idx="7">
                  <c:v>7044</c:v>
                </c:pt>
                <c:pt idx="8">
                  <c:v>57155</c:v>
                </c:pt>
                <c:pt idx="9">
                  <c:v>8671</c:v>
                </c:pt>
                <c:pt idx="10">
                  <c:v>104419</c:v>
                </c:pt>
                <c:pt idx="11">
                  <c:v>88554</c:v>
                </c:pt>
                <c:pt idx="12">
                  <c:v>2952</c:v>
                </c:pt>
                <c:pt idx="13">
                  <c:v>11132</c:v>
                </c:pt>
                <c:pt idx="14">
                  <c:v>13313</c:v>
                </c:pt>
                <c:pt idx="15">
                  <c:v>24505</c:v>
                </c:pt>
                <c:pt idx="16">
                  <c:v>131682</c:v>
                </c:pt>
                <c:pt idx="17">
                  <c:v>36869</c:v>
                </c:pt>
                <c:pt idx="18">
                  <c:v>11810</c:v>
                </c:pt>
                <c:pt idx="19">
                  <c:v>12671</c:v>
                </c:pt>
                <c:pt idx="20">
                  <c:v>46788</c:v>
                </c:pt>
                <c:pt idx="21">
                  <c:v>146594</c:v>
                </c:pt>
                <c:pt idx="22">
                  <c:v>105261</c:v>
                </c:pt>
                <c:pt idx="23">
                  <c:v>10207</c:v>
                </c:pt>
                <c:pt idx="24">
                  <c:v>6</c:v>
                </c:pt>
                <c:pt idx="25">
                  <c:v>4618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32384"/>
        <c:axId val="112062848"/>
        <c:axId val="0"/>
      </c:bar3DChart>
      <c:catAx>
        <c:axId val="11203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6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3238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Partners per MS </a:t>
            </a:r>
          </a:p>
        </c:rich>
      </c:tx>
      <c:layout>
        <c:manualLayout>
          <c:xMode val="edge"/>
          <c:yMode val="edge"/>
          <c:x val="0.45329827836310932"/>
          <c:y val="3.8062251878265008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147474865277091E-2"/>
          <c:y val="0.12071924038334837"/>
          <c:w val="0.96395305422900657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'2014'!$A$213:$A$238</c:f>
              <c:strCache>
                <c:ptCount val="26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SI</c:v>
                </c:pt>
                <c:pt idx="25">
                  <c:v>SK</c:v>
                </c:pt>
              </c:strCache>
            </c:strRef>
          </c:cat>
          <c:val>
            <c:numRef>
              <c:f>'2014'!$B$213:$B$238</c:f>
              <c:numCache>
                <c:formatCode>General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20</c:v>
                </c:pt>
                <c:pt idx="3">
                  <c:v>17</c:v>
                </c:pt>
                <c:pt idx="4">
                  <c:v>22</c:v>
                </c:pt>
                <c:pt idx="5">
                  <c:v>22</c:v>
                </c:pt>
                <c:pt idx="6">
                  <c:v>23</c:v>
                </c:pt>
                <c:pt idx="7">
                  <c:v>19</c:v>
                </c:pt>
                <c:pt idx="8">
                  <c:v>24</c:v>
                </c:pt>
                <c:pt idx="9">
                  <c:v>21</c:v>
                </c:pt>
                <c:pt idx="10">
                  <c:v>24</c:v>
                </c:pt>
                <c:pt idx="11">
                  <c:v>19</c:v>
                </c:pt>
                <c:pt idx="12">
                  <c:v>13</c:v>
                </c:pt>
                <c:pt idx="13">
                  <c:v>11</c:v>
                </c:pt>
                <c:pt idx="14">
                  <c:v>18</c:v>
                </c:pt>
                <c:pt idx="15">
                  <c:v>23</c:v>
                </c:pt>
                <c:pt idx="16">
                  <c:v>20</c:v>
                </c:pt>
                <c:pt idx="17">
                  <c:v>21</c:v>
                </c:pt>
                <c:pt idx="18">
                  <c:v>19</c:v>
                </c:pt>
                <c:pt idx="19">
                  <c:v>19</c:v>
                </c:pt>
                <c:pt idx="20">
                  <c:v>23</c:v>
                </c:pt>
                <c:pt idx="21">
                  <c:v>23</c:v>
                </c:pt>
                <c:pt idx="22">
                  <c:v>20</c:v>
                </c:pt>
                <c:pt idx="23">
                  <c:v>23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157440"/>
        <c:axId val="112158976"/>
        <c:axId val="0"/>
      </c:bar3DChart>
      <c:catAx>
        <c:axId val="11215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15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5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157440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type</a:t>
            </a:r>
          </a:p>
        </c:rich>
      </c:tx>
      <c:layout>
        <c:manualLayout>
          <c:xMode val="edge"/>
          <c:yMode val="edge"/>
          <c:x val="0.44280442804428044"/>
          <c:y val="3.8062348045435575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034702949524614E-2"/>
          <c:y val="0.10312103171193922"/>
          <c:w val="0.8805499955711088"/>
          <c:h val="0.83066651442482242"/>
        </c:manualLayout>
      </c:layout>
      <c:bar3D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'2014'!$A$142:$A$153</c:f>
              <c:strCache>
                <c:ptCount val="12"/>
                <c:pt idx="0">
                  <c:v>NOT</c:v>
                </c:pt>
                <c:pt idx="1">
                  <c:v>NPB</c:v>
                </c:pt>
                <c:pt idx="2">
                  <c:v>NRC</c:v>
                </c:pt>
                <c:pt idx="3">
                  <c:v>REQ</c:v>
                </c:pt>
                <c:pt idx="4">
                  <c:v>RDL</c:v>
                </c:pt>
                <c:pt idx="5">
                  <c:v>RDN</c:v>
                </c:pt>
                <c:pt idx="6">
                  <c:v>RPB</c:v>
                </c:pt>
                <c:pt idx="7">
                  <c:v>RRS</c:v>
                </c:pt>
                <c:pt idx="8">
                  <c:v>RAI</c:v>
                </c:pt>
                <c:pt idx="9">
                  <c:v>AI</c:v>
                </c:pt>
                <c:pt idx="10">
                  <c:v>AIU</c:v>
                </c:pt>
                <c:pt idx="11">
                  <c:v>FE</c:v>
                </c:pt>
              </c:strCache>
            </c:strRef>
          </c:cat>
          <c:val>
            <c:numRef>
              <c:f>'2014'!$F$142:$F$153</c:f>
              <c:numCache>
                <c:formatCode>0</c:formatCode>
                <c:ptCount val="12"/>
                <c:pt idx="0">
                  <c:v>365653</c:v>
                </c:pt>
                <c:pt idx="1">
                  <c:v>10609</c:v>
                </c:pt>
                <c:pt idx="2">
                  <c:v>220011</c:v>
                </c:pt>
                <c:pt idx="3">
                  <c:v>211292</c:v>
                </c:pt>
                <c:pt idx="4">
                  <c:v>214944</c:v>
                </c:pt>
                <c:pt idx="5">
                  <c:v>3863</c:v>
                </c:pt>
                <c:pt idx="6">
                  <c:v>11814</c:v>
                </c:pt>
                <c:pt idx="7">
                  <c:v>190970</c:v>
                </c:pt>
                <c:pt idx="8">
                  <c:v>10662</c:v>
                </c:pt>
                <c:pt idx="9">
                  <c:v>2522</c:v>
                </c:pt>
                <c:pt idx="10">
                  <c:v>5563</c:v>
                </c:pt>
                <c:pt idx="11">
                  <c:v>8736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192128"/>
        <c:axId val="112329088"/>
        <c:axId val="0"/>
      </c:bar3DChart>
      <c:catAx>
        <c:axId val="11219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32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290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19212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Main message types per month</a:t>
            </a:r>
          </a:p>
        </c:rich>
      </c:tx>
      <c:layout>
        <c:manualLayout>
          <c:xMode val="edge"/>
          <c:yMode val="edge"/>
          <c:x val="0.39493652182366096"/>
          <c:y val="3.8194469233005103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722145991642326E-2"/>
          <c:y val="0.14295685356708235"/>
          <c:w val="0.81973341342794581"/>
          <c:h val="0.73157779330249917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'2014'!$B$90:$B$101</c:f>
              <c:numCache>
                <c:formatCode>0</c:formatCode>
                <c:ptCount val="12"/>
                <c:pt idx="0">
                  <c:v>22017</c:v>
                </c:pt>
                <c:pt idx="1">
                  <c:v>27526</c:v>
                </c:pt>
                <c:pt idx="2">
                  <c:v>30311</c:v>
                </c:pt>
                <c:pt idx="3">
                  <c:v>32873</c:v>
                </c:pt>
                <c:pt idx="4">
                  <c:v>34132</c:v>
                </c:pt>
                <c:pt idx="5">
                  <c:v>28515</c:v>
                </c:pt>
                <c:pt idx="6">
                  <c:v>32418</c:v>
                </c:pt>
                <c:pt idx="7">
                  <c:v>21704</c:v>
                </c:pt>
                <c:pt idx="8">
                  <c:v>33844</c:v>
                </c:pt>
                <c:pt idx="9">
                  <c:v>35226</c:v>
                </c:pt>
                <c:pt idx="10">
                  <c:v>36322</c:v>
                </c:pt>
                <c:pt idx="11" formatCode="General">
                  <c:v>30765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cat>
            <c:strRef>
              <c:f>'2014'!$A$90:$A$101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'2014'!$C$90:$C$101</c:f>
              <c:numCache>
                <c:formatCode>0</c:formatCode>
                <c:ptCount val="12"/>
                <c:pt idx="0">
                  <c:v>16174</c:v>
                </c:pt>
                <c:pt idx="1">
                  <c:v>14762</c:v>
                </c:pt>
                <c:pt idx="2">
                  <c:v>17195</c:v>
                </c:pt>
                <c:pt idx="3">
                  <c:v>17404</c:v>
                </c:pt>
                <c:pt idx="4">
                  <c:v>16352</c:v>
                </c:pt>
                <c:pt idx="5">
                  <c:v>16912</c:v>
                </c:pt>
                <c:pt idx="6">
                  <c:v>17864</c:v>
                </c:pt>
                <c:pt idx="7">
                  <c:v>15495</c:v>
                </c:pt>
                <c:pt idx="8">
                  <c:v>18172</c:v>
                </c:pt>
                <c:pt idx="9">
                  <c:v>21903</c:v>
                </c:pt>
                <c:pt idx="10">
                  <c:v>20790</c:v>
                </c:pt>
                <c:pt idx="11" formatCode="General">
                  <c:v>18269</c:v>
                </c:pt>
              </c:numCache>
            </c:numRef>
          </c:val>
        </c:ser>
        <c:ser>
          <c:idx val="2"/>
          <c:order val="2"/>
          <c:tx>
            <c:v>Replies to requests</c:v>
          </c:tx>
          <c:invertIfNegative val="0"/>
          <c:dLbls>
            <c:dLbl>
              <c:idx val="0"/>
              <c:layout>
                <c:manualLayout>
                  <c:x val="9.876543209876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8765432098765656E-3"/>
                  <c:y val="-5.9534476013134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283950617283949E-2"/>
                  <c:y val="3.24737256875352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0987654320987655E-2"/>
                  <c:y val="5.9534476013134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'2014'!$D$90:$D$101</c:f>
              <c:numCache>
                <c:formatCode>0</c:formatCode>
                <c:ptCount val="12"/>
                <c:pt idx="0">
                  <c:v>15685</c:v>
                </c:pt>
                <c:pt idx="1">
                  <c:v>16170</c:v>
                </c:pt>
                <c:pt idx="2">
                  <c:v>15134</c:v>
                </c:pt>
                <c:pt idx="3">
                  <c:v>16427</c:v>
                </c:pt>
                <c:pt idx="4">
                  <c:v>16246</c:v>
                </c:pt>
                <c:pt idx="5">
                  <c:v>15229</c:v>
                </c:pt>
                <c:pt idx="6">
                  <c:v>18240</c:v>
                </c:pt>
                <c:pt idx="7">
                  <c:v>13198</c:v>
                </c:pt>
                <c:pt idx="8">
                  <c:v>19357</c:v>
                </c:pt>
                <c:pt idx="9">
                  <c:v>21804</c:v>
                </c:pt>
                <c:pt idx="10">
                  <c:v>21370</c:v>
                </c:pt>
                <c:pt idx="11" formatCode="General">
                  <c:v>17787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360064"/>
        <c:axId val="112378240"/>
        <c:axId val="0"/>
      </c:bar3DChart>
      <c:catAx>
        <c:axId val="11236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37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782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36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12306794983962"/>
          <c:y val="0.41935378292152631"/>
          <c:w val="0.12549071643822299"/>
          <c:h val="0.19498329392590313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Notifications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1532065664363893"/>
          <c:y val="3.80622844722265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'2014'!$A$285:$A$310</c:f>
              <c:strCache>
                <c:ptCount val="26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SI</c:v>
                </c:pt>
                <c:pt idx="25">
                  <c:v>SK</c:v>
                </c:pt>
              </c:strCache>
            </c:strRef>
          </c:cat>
          <c:val>
            <c:numRef>
              <c:f>'2014'!$B$285:$B$310</c:f>
              <c:numCache>
                <c:formatCode>General</c:formatCode>
                <c:ptCount val="26"/>
                <c:pt idx="0">
                  <c:v>14153</c:v>
                </c:pt>
                <c:pt idx="1">
                  <c:v>24381</c:v>
                </c:pt>
                <c:pt idx="2">
                  <c:v>44</c:v>
                </c:pt>
                <c:pt idx="3">
                  <c:v>2303</c:v>
                </c:pt>
                <c:pt idx="4">
                  <c:v>2325</c:v>
                </c:pt>
                <c:pt idx="5">
                  <c:v>106426</c:v>
                </c:pt>
                <c:pt idx="6">
                  <c:v>2531</c:v>
                </c:pt>
                <c:pt idx="7">
                  <c:v>43</c:v>
                </c:pt>
                <c:pt idx="8">
                  <c:v>31751</c:v>
                </c:pt>
                <c:pt idx="9">
                  <c:v>1739</c:v>
                </c:pt>
                <c:pt idx="10">
                  <c:v>45852</c:v>
                </c:pt>
                <c:pt idx="11">
                  <c:v>22926</c:v>
                </c:pt>
                <c:pt idx="13">
                  <c:v>30</c:v>
                </c:pt>
                <c:pt idx="14">
                  <c:v>412</c:v>
                </c:pt>
                <c:pt idx="15">
                  <c:v>10636</c:v>
                </c:pt>
                <c:pt idx="16">
                  <c:v>67046</c:v>
                </c:pt>
                <c:pt idx="17">
                  <c:v>109</c:v>
                </c:pt>
                <c:pt idx="18">
                  <c:v>6138</c:v>
                </c:pt>
                <c:pt idx="19">
                  <c:v>97</c:v>
                </c:pt>
                <c:pt idx="20">
                  <c:v>13747</c:v>
                </c:pt>
                <c:pt idx="21">
                  <c:v>7898</c:v>
                </c:pt>
                <c:pt idx="22">
                  <c:v>95</c:v>
                </c:pt>
                <c:pt idx="23">
                  <c:v>4927</c:v>
                </c:pt>
                <c:pt idx="24">
                  <c:v>1</c:v>
                </c:pt>
                <c:pt idx="25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249152"/>
        <c:axId val="117250688"/>
        <c:axId val="0"/>
      </c:bar3DChart>
      <c:catAx>
        <c:axId val="11724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25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5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24915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"/>
          <c:y val="3.8062276385002689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'2014'!$A$321:$A$346</c:f>
              <c:strCache>
                <c:ptCount val="26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SI</c:v>
                </c:pt>
                <c:pt idx="25">
                  <c:v>SK</c:v>
                </c:pt>
              </c:strCache>
            </c:strRef>
          </c:cat>
          <c:val>
            <c:numRef>
              <c:f>'2014'!$B$321:$B$346</c:f>
              <c:numCache>
                <c:formatCode>General</c:formatCode>
                <c:ptCount val="26"/>
                <c:pt idx="0">
                  <c:v>29015</c:v>
                </c:pt>
                <c:pt idx="1">
                  <c:v>1311</c:v>
                </c:pt>
                <c:pt idx="2">
                  <c:v>34</c:v>
                </c:pt>
                <c:pt idx="3">
                  <c:v>161</c:v>
                </c:pt>
                <c:pt idx="4">
                  <c:v>8732</c:v>
                </c:pt>
                <c:pt idx="5">
                  <c:v>95671</c:v>
                </c:pt>
                <c:pt idx="6">
                  <c:v>813</c:v>
                </c:pt>
                <c:pt idx="7">
                  <c:v>83</c:v>
                </c:pt>
                <c:pt idx="8">
                  <c:v>1549</c:v>
                </c:pt>
                <c:pt idx="9">
                  <c:v>2662</c:v>
                </c:pt>
                <c:pt idx="10">
                  <c:v>16041</c:v>
                </c:pt>
                <c:pt idx="11">
                  <c:v>39432</c:v>
                </c:pt>
                <c:pt idx="13">
                  <c:v>14</c:v>
                </c:pt>
                <c:pt idx="14">
                  <c:v>75</c:v>
                </c:pt>
                <c:pt idx="15">
                  <c:v>942</c:v>
                </c:pt>
                <c:pt idx="16">
                  <c:v>84</c:v>
                </c:pt>
                <c:pt idx="17">
                  <c:v>1444</c:v>
                </c:pt>
                <c:pt idx="18">
                  <c:v>2054</c:v>
                </c:pt>
                <c:pt idx="19">
                  <c:v>243</c:v>
                </c:pt>
                <c:pt idx="20">
                  <c:v>5816</c:v>
                </c:pt>
                <c:pt idx="21">
                  <c:v>3648</c:v>
                </c:pt>
                <c:pt idx="22">
                  <c:v>756</c:v>
                </c:pt>
                <c:pt idx="23">
                  <c:v>710</c:v>
                </c:pt>
                <c:pt idx="2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292032"/>
        <c:axId val="117297920"/>
        <c:axId val="0"/>
      </c:bar3DChart>
      <c:catAx>
        <c:axId val="11729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29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97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29203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Active Interconnection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ratio</a:t>
            </a:r>
            <a:r>
              <a:rPr lang="en-GB" sz="1050">
                <a:latin typeface="Arial" pitchFamily="34" charset="0"/>
                <a:cs typeface="Arial" pitchFamily="34" charset="0"/>
              </a:rPr>
              <a:t> per month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00">
                <a:latin typeface="Arial" pitchFamily="34" charset="0"/>
                <a:cs typeface="Arial" pitchFamily="34" charset="0"/>
              </a:rPr>
              <a:t>(based on the number of "live" MS)</a:t>
            </a:r>
          </a:p>
        </c:rich>
      </c:tx>
      <c:layout>
        <c:manualLayout>
          <c:xMode val="edge"/>
          <c:yMode val="edge"/>
          <c:x val="0.33295291147490813"/>
          <c:y val="3.806239301480089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390004438763033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'2014'!$C$18:$C$29</c:f>
              <c:numCache>
                <c:formatCode>0%</c:formatCode>
                <c:ptCount val="12"/>
                <c:pt idx="0">
                  <c:v>0.58333333333333337</c:v>
                </c:pt>
                <c:pt idx="1">
                  <c:v>0.60666666666666669</c:v>
                </c:pt>
                <c:pt idx="2">
                  <c:v>0.6333333333333333</c:v>
                </c:pt>
                <c:pt idx="3">
                  <c:v>0.65666666666666662</c:v>
                </c:pt>
                <c:pt idx="4">
                  <c:v>0.67333333333333334</c:v>
                </c:pt>
                <c:pt idx="5">
                  <c:v>0.71</c:v>
                </c:pt>
                <c:pt idx="6">
                  <c:v>0.71</c:v>
                </c:pt>
                <c:pt idx="7">
                  <c:v>0.71333333333333337</c:v>
                </c:pt>
                <c:pt idx="8">
                  <c:v>0.7466666666666667</c:v>
                </c:pt>
                <c:pt idx="9">
                  <c:v>0.76333333333333331</c:v>
                </c:pt>
                <c:pt idx="10">
                  <c:v>0.78333333333333333</c:v>
                </c:pt>
                <c:pt idx="11">
                  <c:v>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335168"/>
        <c:axId val="117336704"/>
        <c:axId val="0"/>
      </c:bar3DChart>
      <c:catAx>
        <c:axId val="1173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3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3367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33516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month</a:t>
            </a:r>
          </a:p>
        </c:rich>
      </c:tx>
      <c:layout>
        <c:manualLayout>
          <c:xMode val="edge"/>
          <c:yMode val="edge"/>
          <c:x val="0.36120735576541169"/>
          <c:y val="3.806249694569391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095940959409596E-2"/>
          <c:y val="0.1626300325577702"/>
          <c:w val="0.88007380073800734"/>
          <c:h val="0.7058835455698961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'2012'!$A$54:$A$62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'2012'!$B$54:$B$62</c:f>
              <c:numCache>
                <c:formatCode>General</c:formatCode>
                <c:ptCount val="9"/>
                <c:pt idx="0">
                  <c:v>431</c:v>
                </c:pt>
                <c:pt idx="1">
                  <c:v>23941</c:v>
                </c:pt>
                <c:pt idx="2">
                  <c:v>32285</c:v>
                </c:pt>
                <c:pt idx="3">
                  <c:v>32226</c:v>
                </c:pt>
                <c:pt idx="4">
                  <c:v>43101</c:v>
                </c:pt>
                <c:pt idx="5">
                  <c:v>40181</c:v>
                </c:pt>
                <c:pt idx="6">
                  <c:v>46682</c:v>
                </c:pt>
                <c:pt idx="7">
                  <c:v>46194</c:v>
                </c:pt>
                <c:pt idx="8">
                  <c:v>35932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621632"/>
        <c:axId val="89623168"/>
        <c:axId val="0"/>
      </c:bar3DChart>
      <c:catAx>
        <c:axId val="8962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962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2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9621632"/>
        <c:crosses val="autoZero"/>
        <c:crossBetween val="between"/>
        <c:majorUnit val="10000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Notifications</a:t>
            </a:r>
          </a:p>
        </c:rich>
      </c:tx>
      <c:layout>
        <c:manualLayout>
          <c:xMode val="edge"/>
          <c:yMode val="edge"/>
          <c:x val="0.38265831955677027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'2014'!$A$165:$A$166</c:f>
              <c:strCache>
                <c:ptCount val="2"/>
                <c:pt idx="0">
                  <c:v>New conviction</c:v>
                </c:pt>
                <c:pt idx="1">
                  <c:v>Conviction update</c:v>
                </c:pt>
              </c:strCache>
            </c:strRef>
          </c:cat>
          <c:val>
            <c:numRef>
              <c:f>'2014'!$D$165:$D$166</c:f>
              <c:numCache>
                <c:formatCode>0</c:formatCode>
                <c:ptCount val="2"/>
                <c:pt idx="0">
                  <c:v>278623</c:v>
                </c:pt>
                <c:pt idx="1">
                  <c:v>86954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979464476130121"/>
          <c:y val="0.3219604761021479"/>
          <c:w val="0.36611464621332324"/>
          <c:h val="0.471571362734993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Requests</a:t>
            </a:r>
          </a:p>
        </c:rich>
      </c:tx>
      <c:layout>
        <c:manualLayout>
          <c:xMode val="edge"/>
          <c:yMode val="edge"/>
          <c:x val="0.42884961981943015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91634331174802E-2"/>
          <c:y val="0.23086861934074143"/>
          <c:w val="0.30881801231787875"/>
          <c:h val="0.696274213215895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'2014'!$A$170:$A$171</c:f>
              <c:strCache>
                <c:ptCount val="2"/>
                <c:pt idx="0">
                  <c:v>For criminal proceedings</c:v>
                </c:pt>
                <c:pt idx="1">
                  <c:v>For other purposes</c:v>
                </c:pt>
              </c:strCache>
            </c:strRef>
          </c:cat>
          <c:val>
            <c:numRef>
              <c:f>'2014'!$D$170:$D$171</c:f>
              <c:numCache>
                <c:formatCode>0</c:formatCode>
                <c:ptCount val="2"/>
                <c:pt idx="0">
                  <c:v>171286</c:v>
                </c:pt>
                <c:pt idx="1">
                  <c:v>39882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78852376287587"/>
          <c:y val="0.35212895272443101"/>
          <c:w val="0.46147489422936927"/>
          <c:h val="0.422999917772750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Replies to notifications</a:t>
            </a:r>
          </a:p>
        </c:rich>
      </c:tx>
      <c:layout>
        <c:manualLayout>
          <c:xMode val="edge"/>
          <c:yMode val="edge"/>
          <c:x val="0.46595756184368031"/>
          <c:y val="4.70586299365391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413196726262937E-2"/>
          <c:y val="0.25352254524570333"/>
          <c:w val="0.4807683507021035"/>
          <c:h val="0.66964214573600722"/>
        </c:manualLayout>
      </c:layout>
      <c:pieChart>
        <c:varyColors val="1"/>
        <c:ser>
          <c:idx val="2"/>
          <c:order val="0"/>
          <c:dLbls>
            <c:dLbl>
              <c:idx val="0"/>
              <c:layout>
                <c:manualLayout>
                  <c:x val="0.22382133511772259"/>
                  <c:y val="0.231738416146778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0937990341276075"/>
                  <c:y val="0.349433302326964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254194080238225"/>
                  <c:y val="0.483987513997795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6178420710852773"/>
                  <c:y val="0.603389093153583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5229099652753351"/>
                  <c:y val="-3.22982659776270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'2014'!$A$191:$D$195</c:f>
              <c:strCache>
                <c:ptCount val="5"/>
                <c:pt idx="0">
                  <c:v>fingerprints do not match</c:v>
                </c:pt>
                <c:pt idx="1">
                  <c:v>multiple persons found</c:v>
                </c:pt>
                <c:pt idx="2">
                  <c:v>person deceased</c:v>
                </c:pt>
                <c:pt idx="3">
                  <c:v>not a national </c:v>
                </c:pt>
                <c:pt idx="4">
                  <c:v>notification receipt</c:v>
                </c:pt>
              </c:strCache>
            </c:strRef>
          </c:cat>
          <c:val>
            <c:numRef>
              <c:f>'2014'!$E$191:$E$195</c:f>
              <c:numCache>
                <c:formatCode>General</c:formatCode>
                <c:ptCount val="5"/>
                <c:pt idx="0">
                  <c:v>3</c:v>
                </c:pt>
                <c:pt idx="1">
                  <c:v>2829</c:v>
                </c:pt>
                <c:pt idx="2">
                  <c:v>375</c:v>
                </c:pt>
                <c:pt idx="3">
                  <c:v>6363</c:v>
                </c:pt>
                <c:pt idx="4">
                  <c:v>195431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146528434634443"/>
          <c:y val="0.3462461985832691"/>
          <c:w val="0.47331816757484874"/>
          <c:h val="0.63865283485303115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Replies to requests</a:t>
            </a:r>
          </a:p>
        </c:rich>
      </c:tx>
      <c:layout>
        <c:manualLayout>
          <c:xMode val="edge"/>
          <c:yMode val="edge"/>
          <c:x val="0.32370523160027315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527640742501042E-2"/>
          <c:y val="0.24705910099482223"/>
          <c:w val="0.29771630464219884"/>
          <c:h val="0.67198849073477374"/>
        </c:manualLayout>
      </c:layout>
      <c:pieChart>
        <c:varyColors val="1"/>
        <c:ser>
          <c:idx val="4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explosion val="8"/>
          </c:dPt>
          <c:dLbls>
            <c:dLbl>
              <c:idx val="0"/>
              <c:layout>
                <c:manualLayout>
                  <c:x val="-0.11202470131881924"/>
                  <c:y val="-5.38462150790182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983216006093431E-2"/>
                  <c:y val="3.30933660346908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3955389489603504E-3"/>
                  <c:y val="4.810225011762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183208709503614E-2"/>
                  <c:y val="2.66162180913529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2822420688299394"/>
                  <c:y val="0.391430054553003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20308325540242925"/>
                  <c:y val="0.499076817885307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9875136450167047"/>
                  <c:y val="0.604518166807926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'2014'!$A$200:$A$206</c:f>
              <c:strCache>
                <c:ptCount val="7"/>
                <c:pt idx="0">
                  <c:v>Response: no convictions</c:v>
                </c:pt>
                <c:pt idx="1">
                  <c:v>Response: one or more convictions</c:v>
                </c:pt>
                <c:pt idx="2">
                  <c:v>Denial</c:v>
                </c:pt>
                <c:pt idx="3">
                  <c:v>multiple persons found</c:v>
                </c:pt>
                <c:pt idx="4">
                  <c:v>person deceased</c:v>
                </c:pt>
                <c:pt idx="5">
                  <c:v>not a national</c:v>
                </c:pt>
                <c:pt idx="6">
                  <c:v>fingerprints do not match main indentity</c:v>
                </c:pt>
              </c:strCache>
            </c:strRef>
          </c:cat>
          <c:val>
            <c:numRef>
              <c:f>'2014'!$F$200:$F$206</c:f>
              <c:numCache>
                <c:formatCode>General</c:formatCode>
                <c:ptCount val="7"/>
                <c:pt idx="0">
                  <c:v>127513</c:v>
                </c:pt>
                <c:pt idx="1">
                  <c:v>63498</c:v>
                </c:pt>
                <c:pt idx="2" formatCode="0">
                  <c:v>3863</c:v>
                </c:pt>
                <c:pt idx="3">
                  <c:v>6303</c:v>
                </c:pt>
                <c:pt idx="4">
                  <c:v>84</c:v>
                </c:pt>
                <c:pt idx="5">
                  <c:v>4804</c:v>
                </c:pt>
                <c:pt idx="6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890540058931538"/>
          <c:y val="0.24689066459972567"/>
          <c:w val="0.60607338258791577"/>
          <c:h val="0.731642300219782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requests</a:t>
            </a:r>
          </a:p>
        </c:rich>
      </c:tx>
      <c:layout>
        <c:manualLayout>
          <c:xMode val="edge"/>
          <c:yMode val="edge"/>
          <c:x val="0.26649383571278401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2"/>
              <c:layout>
                <c:manualLayout>
                  <c:x val="1.6516750435228473E-4"/>
                  <c:y val="2.14135310174686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'2014'!$A$177:$A$179</c:f>
              <c:strCache>
                <c:ptCount val="3"/>
                <c:pt idx="0">
                  <c:v>EU</c:v>
                </c:pt>
                <c:pt idx="1">
                  <c:v>Third country</c:v>
                </c:pt>
                <c:pt idx="2">
                  <c:v>Stateless</c:v>
                </c:pt>
              </c:strCache>
            </c:strRef>
          </c:cat>
          <c:val>
            <c:numRef>
              <c:f>'2014'!$D$177:$D$179</c:f>
              <c:numCache>
                <c:formatCode>0</c:formatCode>
                <c:ptCount val="3"/>
                <c:pt idx="0">
                  <c:v>187888</c:v>
                </c:pt>
                <c:pt idx="1">
                  <c:v>23234</c:v>
                </c:pt>
                <c:pt idx="2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01"/>
          <c:y val="0.33815074221200081"/>
          <c:w val="0.28585927184120935"/>
          <c:h val="0.365309301744491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Responses (Responses, Problems, Denial)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540299604572727"/>
          <c:y val="4.007887315176778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'2014'!$A$359:$A$384</c:f>
              <c:strCache>
                <c:ptCount val="26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SI</c:v>
                </c:pt>
                <c:pt idx="25">
                  <c:v>SK</c:v>
                </c:pt>
              </c:strCache>
            </c:strRef>
          </c:cat>
          <c:val>
            <c:numRef>
              <c:f>'2014'!$B$359:$B$384</c:f>
              <c:numCache>
                <c:formatCode>General</c:formatCode>
                <c:ptCount val="26"/>
                <c:pt idx="0">
                  <c:v>6931</c:v>
                </c:pt>
                <c:pt idx="1">
                  <c:v>4909</c:v>
                </c:pt>
                <c:pt idx="2">
                  <c:v>8851</c:v>
                </c:pt>
                <c:pt idx="3">
                  <c:v>413</c:v>
                </c:pt>
                <c:pt idx="4">
                  <c:v>8028</c:v>
                </c:pt>
                <c:pt idx="5">
                  <c:v>20535</c:v>
                </c:pt>
                <c:pt idx="6">
                  <c:v>1654</c:v>
                </c:pt>
                <c:pt idx="7">
                  <c:v>2573</c:v>
                </c:pt>
                <c:pt idx="8">
                  <c:v>7659</c:v>
                </c:pt>
                <c:pt idx="9">
                  <c:v>965</c:v>
                </c:pt>
                <c:pt idx="10">
                  <c:v>10767</c:v>
                </c:pt>
                <c:pt idx="11">
                  <c:v>6222</c:v>
                </c:pt>
                <c:pt idx="12">
                  <c:v>1255</c:v>
                </c:pt>
                <c:pt idx="13">
                  <c:v>4783</c:v>
                </c:pt>
                <c:pt idx="14">
                  <c:v>5969</c:v>
                </c:pt>
                <c:pt idx="15">
                  <c:v>4095</c:v>
                </c:pt>
                <c:pt idx="16">
                  <c:v>17611</c:v>
                </c:pt>
                <c:pt idx="17">
                  <c:v>10321</c:v>
                </c:pt>
                <c:pt idx="18">
                  <c:v>1459</c:v>
                </c:pt>
                <c:pt idx="19">
                  <c:v>3553</c:v>
                </c:pt>
                <c:pt idx="20">
                  <c:v>6980</c:v>
                </c:pt>
                <c:pt idx="21">
                  <c:v>41408</c:v>
                </c:pt>
                <c:pt idx="22">
                  <c:v>26887</c:v>
                </c:pt>
                <c:pt idx="23">
                  <c:v>1505</c:v>
                </c:pt>
                <c:pt idx="24">
                  <c:v>3</c:v>
                </c:pt>
                <c:pt idx="25">
                  <c:v>1311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178944"/>
        <c:axId val="118180480"/>
        <c:axId val="0"/>
      </c:bar3DChart>
      <c:catAx>
        <c:axId val="11817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818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8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817894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</a:t>
            </a:r>
            <a:r>
              <a:rPr lang="en-GB" sz="1050" baseline="0"/>
              <a:t> responses</a:t>
            </a:r>
            <a:endParaRPr lang="en-GB" sz="1050"/>
          </a:p>
        </c:rich>
      </c:tx>
      <c:layout>
        <c:manualLayout>
          <c:xMode val="edge"/>
          <c:yMode val="edge"/>
          <c:x val="0.26649383571278401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2"/>
              <c:layout>
                <c:manualLayout>
                  <c:x val="1.6516750435228473E-4"/>
                  <c:y val="2.14135310174686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'2014'!$A$184:$A$186</c:f>
              <c:strCache>
                <c:ptCount val="3"/>
                <c:pt idx="0">
                  <c:v>EU</c:v>
                </c:pt>
                <c:pt idx="1">
                  <c:v>Third country</c:v>
                </c:pt>
                <c:pt idx="2">
                  <c:v>Stateless</c:v>
                </c:pt>
              </c:strCache>
            </c:strRef>
          </c:cat>
          <c:val>
            <c:numRef>
              <c:f>'2014'!$D$184:$D$186</c:f>
              <c:numCache>
                <c:formatCode>0</c:formatCode>
                <c:ptCount val="3"/>
                <c:pt idx="0">
                  <c:v>170367</c:v>
                </c:pt>
                <c:pt idx="1">
                  <c:v>20021</c:v>
                </c:pt>
                <c:pt idx="2">
                  <c:v>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01"/>
          <c:y val="0.33815074221200081"/>
          <c:w val="0.28585927184120935"/>
          <c:h val="0.386766590397184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month</a:t>
            </a:r>
          </a:p>
        </c:rich>
      </c:tx>
      <c:layout>
        <c:manualLayout>
          <c:xMode val="edge"/>
          <c:yMode val="edge"/>
          <c:x val="0.3884913629199741"/>
          <c:y val="3.806239301480089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095940959409596E-2"/>
          <c:y val="0.12215377358599901"/>
          <c:w val="0.88007380073800734"/>
          <c:h val="0.7757969781642991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'2015'!$A$65:$A$76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'2015'!$B$65:$B$76</c:f>
              <c:numCache>
                <c:formatCode>General</c:formatCode>
                <c:ptCount val="12"/>
                <c:pt idx="0">
                  <c:v>126445</c:v>
                </c:pt>
                <c:pt idx="1">
                  <c:v>134030</c:v>
                </c:pt>
                <c:pt idx="2" formatCode="0">
                  <c:v>155191</c:v>
                </c:pt>
                <c:pt idx="3">
                  <c:v>131834</c:v>
                </c:pt>
                <c:pt idx="4">
                  <c:v>136449</c:v>
                </c:pt>
                <c:pt idx="5">
                  <c:v>180097</c:v>
                </c:pt>
                <c:pt idx="6">
                  <c:v>157407</c:v>
                </c:pt>
                <c:pt idx="7">
                  <c:v>142606</c:v>
                </c:pt>
                <c:pt idx="8">
                  <c:v>166770</c:v>
                </c:pt>
                <c:pt idx="9">
                  <c:v>172912</c:v>
                </c:pt>
                <c:pt idx="10">
                  <c:v>155113</c:v>
                </c:pt>
                <c:pt idx="11">
                  <c:v>153076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275072"/>
        <c:axId val="116974336"/>
        <c:axId val="0"/>
      </c:bar3DChart>
      <c:catAx>
        <c:axId val="11827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697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743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827507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Active Interconnections per month</a:t>
            </a:r>
          </a:p>
        </c:rich>
      </c:tx>
      <c:layout>
        <c:manualLayout>
          <c:xMode val="edge"/>
          <c:yMode val="edge"/>
          <c:x val="0.36023685970514496"/>
          <c:y val="3.8062404042868266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058835455698961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'2015'!$B$18:$B$29</c:f>
              <c:numCache>
                <c:formatCode>0</c:formatCode>
                <c:ptCount val="12"/>
                <c:pt idx="0">
                  <c:v>490</c:v>
                </c:pt>
                <c:pt idx="1">
                  <c:v>498</c:v>
                </c:pt>
                <c:pt idx="2">
                  <c:v>502</c:v>
                </c:pt>
                <c:pt idx="3">
                  <c:v>502</c:v>
                </c:pt>
                <c:pt idx="4">
                  <c:v>501</c:v>
                </c:pt>
                <c:pt idx="5">
                  <c:v>506</c:v>
                </c:pt>
                <c:pt idx="6">
                  <c:v>504</c:v>
                </c:pt>
                <c:pt idx="7">
                  <c:v>503</c:v>
                </c:pt>
                <c:pt idx="8">
                  <c:v>498</c:v>
                </c:pt>
                <c:pt idx="9">
                  <c:v>515</c:v>
                </c:pt>
                <c:pt idx="10">
                  <c:v>512</c:v>
                </c:pt>
                <c:pt idx="11" formatCode="General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99296"/>
        <c:axId val="117000832"/>
        <c:axId val="0"/>
      </c:bar3DChart>
      <c:catAx>
        <c:axId val="1169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00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0008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699929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New transactions per month</a:t>
            </a:r>
          </a:p>
        </c:rich>
      </c:tx>
      <c:layout>
        <c:manualLayout>
          <c:xMode val="edge"/>
          <c:yMode val="edge"/>
          <c:x val="0.38638267312334035"/>
          <c:y val="3.8194545622316764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837152818436273E-2"/>
          <c:y val="0.1002319737552835"/>
          <c:w val="0.81055126464177929"/>
          <c:h val="0.83078947567226591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'2015'!$B$90:$B$101</c:f>
              <c:numCache>
                <c:formatCode>0</c:formatCode>
                <c:ptCount val="12"/>
                <c:pt idx="0">
                  <c:v>31921</c:v>
                </c:pt>
                <c:pt idx="1">
                  <c:v>34312</c:v>
                </c:pt>
                <c:pt idx="2">
                  <c:v>40367</c:v>
                </c:pt>
                <c:pt idx="3">
                  <c:v>37470</c:v>
                </c:pt>
                <c:pt idx="4">
                  <c:v>32389</c:v>
                </c:pt>
                <c:pt idx="5">
                  <c:v>45917</c:v>
                </c:pt>
                <c:pt idx="6">
                  <c:v>36200</c:v>
                </c:pt>
                <c:pt idx="7">
                  <c:v>32014</c:v>
                </c:pt>
                <c:pt idx="8">
                  <c:v>35973</c:v>
                </c:pt>
                <c:pt idx="9">
                  <c:v>36563</c:v>
                </c:pt>
                <c:pt idx="10">
                  <c:v>33590</c:v>
                </c:pt>
                <c:pt idx="11" formatCode="General">
                  <c:v>34493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dLbls>
            <c:dLbl>
              <c:idx val="0"/>
              <c:layout>
                <c:manualLayout>
                  <c:x val="1.45092466299006E-2"/>
                  <c:y val="-3.187101672791205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897108115467199E-2"/>
                  <c:y val="7.42054933693527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'2015'!$C$90:$C$101</c:f>
              <c:numCache>
                <c:formatCode>0</c:formatCode>
                <c:ptCount val="12"/>
                <c:pt idx="0">
                  <c:v>21390</c:v>
                </c:pt>
                <c:pt idx="1">
                  <c:v>23269</c:v>
                </c:pt>
                <c:pt idx="2">
                  <c:v>25296</c:v>
                </c:pt>
                <c:pt idx="3">
                  <c:v>21427</c:v>
                </c:pt>
                <c:pt idx="4">
                  <c:v>20593</c:v>
                </c:pt>
                <c:pt idx="5">
                  <c:v>31326</c:v>
                </c:pt>
                <c:pt idx="6">
                  <c:v>25583</c:v>
                </c:pt>
                <c:pt idx="7">
                  <c:v>22572</c:v>
                </c:pt>
                <c:pt idx="8">
                  <c:v>24605</c:v>
                </c:pt>
                <c:pt idx="9">
                  <c:v>26847</c:v>
                </c:pt>
                <c:pt idx="10">
                  <c:v>27289</c:v>
                </c:pt>
                <c:pt idx="11" formatCode="General">
                  <c:v>26579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039488"/>
        <c:axId val="117041024"/>
        <c:axId val="0"/>
      </c:bar3DChart>
      <c:catAx>
        <c:axId val="1170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04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0410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03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84749684067269"/>
          <c:y val="0.43234309022015543"/>
          <c:w val="0.10659745309614076"/>
          <c:h val="0.15160755814787324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Interconnections per month</a:t>
            </a:r>
          </a:p>
        </c:rich>
      </c:tx>
      <c:layout>
        <c:manualLayout>
          <c:xMode val="edge"/>
          <c:yMode val="edge"/>
          <c:x val="0.33295284929197139"/>
          <c:y val="3.806249694569391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058835455698961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'2012'!$A$15:$A$23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'2012'!$B$15:$B$23</c:f>
              <c:numCache>
                <c:formatCode>0</c:formatCode>
                <c:ptCount val="9"/>
                <c:pt idx="0">
                  <c:v>30</c:v>
                </c:pt>
                <c:pt idx="1">
                  <c:v>73</c:v>
                </c:pt>
                <c:pt idx="2">
                  <c:v>77</c:v>
                </c:pt>
                <c:pt idx="3">
                  <c:v>97</c:v>
                </c:pt>
                <c:pt idx="4">
                  <c:v>116</c:v>
                </c:pt>
                <c:pt idx="5">
                  <c:v>128</c:v>
                </c:pt>
                <c:pt idx="6">
                  <c:v>142</c:v>
                </c:pt>
                <c:pt idx="7">
                  <c:v>149</c:v>
                </c:pt>
                <c:pt idx="8" formatCode="General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2736"/>
        <c:axId val="89338624"/>
        <c:axId val="0"/>
      </c:bar3DChart>
      <c:catAx>
        <c:axId val="8933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93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386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933273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"/>
          <c:y val="3.80622844722265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'2015'!$A$250:$A$276</c:f>
              <c:strCache>
                <c:ptCount val="2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RO</c:v>
                </c:pt>
                <c:pt idx="24">
                  <c:v>SE</c:v>
                </c:pt>
                <c:pt idx="25">
                  <c:v>SI</c:v>
                </c:pt>
                <c:pt idx="26">
                  <c:v>SK</c:v>
                </c:pt>
              </c:strCache>
            </c:strRef>
          </c:cat>
          <c:val>
            <c:numRef>
              <c:f>'2015'!$B$250:$B$276</c:f>
              <c:numCache>
                <c:formatCode>General</c:formatCode>
                <c:ptCount val="27"/>
                <c:pt idx="0">
                  <c:v>61449</c:v>
                </c:pt>
                <c:pt idx="1">
                  <c:v>63924</c:v>
                </c:pt>
                <c:pt idx="2">
                  <c:v>45707</c:v>
                </c:pt>
                <c:pt idx="3">
                  <c:v>6106</c:v>
                </c:pt>
                <c:pt idx="4">
                  <c:v>35527</c:v>
                </c:pt>
                <c:pt idx="5">
                  <c:v>283446</c:v>
                </c:pt>
                <c:pt idx="6">
                  <c:v>10411</c:v>
                </c:pt>
                <c:pt idx="7">
                  <c:v>9504</c:v>
                </c:pt>
                <c:pt idx="8">
                  <c:v>82629</c:v>
                </c:pt>
                <c:pt idx="9">
                  <c:v>12354</c:v>
                </c:pt>
                <c:pt idx="10">
                  <c:v>99280</c:v>
                </c:pt>
                <c:pt idx="11">
                  <c:v>163103</c:v>
                </c:pt>
                <c:pt idx="12">
                  <c:v>7056</c:v>
                </c:pt>
                <c:pt idx="13">
                  <c:v>17841</c:v>
                </c:pt>
                <c:pt idx="14">
                  <c:v>22621</c:v>
                </c:pt>
                <c:pt idx="15">
                  <c:v>30312</c:v>
                </c:pt>
                <c:pt idx="16">
                  <c:v>147397</c:v>
                </c:pt>
                <c:pt idx="17">
                  <c:v>47289</c:v>
                </c:pt>
                <c:pt idx="18">
                  <c:v>14285</c:v>
                </c:pt>
                <c:pt idx="19">
                  <c:v>23235</c:v>
                </c:pt>
                <c:pt idx="20">
                  <c:v>2</c:v>
                </c:pt>
                <c:pt idx="21">
                  <c:v>63792</c:v>
                </c:pt>
                <c:pt idx="22">
                  <c:v>191597</c:v>
                </c:pt>
                <c:pt idx="23">
                  <c:v>334481</c:v>
                </c:pt>
                <c:pt idx="24">
                  <c:v>17658</c:v>
                </c:pt>
                <c:pt idx="25">
                  <c:v>0</c:v>
                </c:pt>
                <c:pt idx="26">
                  <c:v>20924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132288"/>
        <c:axId val="117138176"/>
        <c:axId val="0"/>
      </c:bar3DChart>
      <c:catAx>
        <c:axId val="11713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13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13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13228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Partners per MS </a:t>
            </a:r>
          </a:p>
        </c:rich>
      </c:tx>
      <c:layout>
        <c:manualLayout>
          <c:xMode val="edge"/>
          <c:yMode val="edge"/>
          <c:x val="0.45329827836310932"/>
          <c:y val="3.8062251878265008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147474865277091E-2"/>
          <c:y val="0.12071924038334837"/>
          <c:w val="0.96395305422900657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'2015'!$A$213:$A$239</c:f>
              <c:strCache>
                <c:ptCount val="2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RO</c:v>
                </c:pt>
                <c:pt idx="24">
                  <c:v>SE</c:v>
                </c:pt>
                <c:pt idx="25">
                  <c:v>SI</c:v>
                </c:pt>
                <c:pt idx="26">
                  <c:v>SK</c:v>
                </c:pt>
              </c:strCache>
            </c:strRef>
          </c:cat>
          <c:val>
            <c:numRef>
              <c:f>'2015'!$B$213:$B$239</c:f>
              <c:numCache>
                <c:formatCode>General</c:formatCode>
                <c:ptCount val="27"/>
                <c:pt idx="0">
                  <c:v>24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22</c:v>
                </c:pt>
                <c:pt idx="12">
                  <c:v>18</c:v>
                </c:pt>
                <c:pt idx="13">
                  <c:v>14</c:v>
                </c:pt>
                <c:pt idx="14">
                  <c:v>20</c:v>
                </c:pt>
                <c:pt idx="15">
                  <c:v>23</c:v>
                </c:pt>
                <c:pt idx="16">
                  <c:v>23</c:v>
                </c:pt>
                <c:pt idx="17">
                  <c:v>22</c:v>
                </c:pt>
                <c:pt idx="18">
                  <c:v>21</c:v>
                </c:pt>
                <c:pt idx="19">
                  <c:v>25</c:v>
                </c:pt>
                <c:pt idx="20">
                  <c:v>1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1</c:v>
                </c:pt>
                <c:pt idx="2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171328"/>
        <c:axId val="117172864"/>
        <c:axId val="0"/>
      </c:bar3DChart>
      <c:catAx>
        <c:axId val="11717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17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17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717132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type</a:t>
            </a:r>
          </a:p>
        </c:rich>
      </c:tx>
      <c:layout>
        <c:manualLayout>
          <c:xMode val="edge"/>
          <c:yMode val="edge"/>
          <c:x val="0.44280442804428044"/>
          <c:y val="3.8062348045435575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034702949524614E-2"/>
          <c:y val="0.10312103171193922"/>
          <c:w val="0.8805499955711088"/>
          <c:h val="0.83066651442482242"/>
        </c:manualLayout>
      </c:layout>
      <c:bar3D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'2015'!$A$142:$A$153</c:f>
              <c:strCache>
                <c:ptCount val="12"/>
                <c:pt idx="0">
                  <c:v>NOT</c:v>
                </c:pt>
                <c:pt idx="1">
                  <c:v>NPB</c:v>
                </c:pt>
                <c:pt idx="2">
                  <c:v>NRC</c:v>
                </c:pt>
                <c:pt idx="3">
                  <c:v>REQ</c:v>
                </c:pt>
                <c:pt idx="4">
                  <c:v>RDL</c:v>
                </c:pt>
                <c:pt idx="5">
                  <c:v>RDN</c:v>
                </c:pt>
                <c:pt idx="6">
                  <c:v>RPB</c:v>
                </c:pt>
                <c:pt idx="7">
                  <c:v>RRS</c:v>
                </c:pt>
                <c:pt idx="8">
                  <c:v>RAI</c:v>
                </c:pt>
                <c:pt idx="9">
                  <c:v>AI</c:v>
                </c:pt>
                <c:pt idx="10">
                  <c:v>AIU</c:v>
                </c:pt>
                <c:pt idx="11">
                  <c:v>FE</c:v>
                </c:pt>
              </c:strCache>
            </c:strRef>
          </c:cat>
          <c:val>
            <c:numRef>
              <c:f>'2015'!$F$142:$F$153</c:f>
              <c:numCache>
                <c:formatCode>0</c:formatCode>
                <c:ptCount val="12"/>
                <c:pt idx="0">
                  <c:v>431209</c:v>
                </c:pt>
                <c:pt idx="1">
                  <c:v>26459</c:v>
                </c:pt>
                <c:pt idx="2">
                  <c:v>427600</c:v>
                </c:pt>
                <c:pt idx="3">
                  <c:v>296776</c:v>
                </c:pt>
                <c:pt idx="4">
                  <c:v>302193</c:v>
                </c:pt>
                <c:pt idx="5">
                  <c:v>4371</c:v>
                </c:pt>
                <c:pt idx="6">
                  <c:v>14016</c:v>
                </c:pt>
                <c:pt idx="7">
                  <c:v>272132</c:v>
                </c:pt>
                <c:pt idx="8">
                  <c:v>18163</c:v>
                </c:pt>
                <c:pt idx="9">
                  <c:v>5695</c:v>
                </c:pt>
                <c:pt idx="10">
                  <c:v>7576</c:v>
                </c:pt>
                <c:pt idx="11">
                  <c:v>5740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66752"/>
        <c:axId val="120697216"/>
        <c:axId val="0"/>
      </c:bar3DChart>
      <c:catAx>
        <c:axId val="1206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069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6972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066675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Main message types per month</a:t>
            </a:r>
          </a:p>
        </c:rich>
      </c:tx>
      <c:layout>
        <c:manualLayout>
          <c:xMode val="edge"/>
          <c:yMode val="edge"/>
          <c:x val="0.39493652182366096"/>
          <c:y val="3.8194469233005103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722145991642326E-2"/>
          <c:y val="0.14295685356708235"/>
          <c:w val="0.81973341342794581"/>
          <c:h val="0.73157779330249917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'2015'!$B$90:$B$101</c:f>
              <c:numCache>
                <c:formatCode>0</c:formatCode>
                <c:ptCount val="12"/>
                <c:pt idx="0">
                  <c:v>31921</c:v>
                </c:pt>
                <c:pt idx="1">
                  <c:v>34312</c:v>
                </c:pt>
                <c:pt idx="2">
                  <c:v>40367</c:v>
                </c:pt>
                <c:pt idx="3">
                  <c:v>37470</c:v>
                </c:pt>
                <c:pt idx="4">
                  <c:v>32389</c:v>
                </c:pt>
                <c:pt idx="5">
                  <c:v>45917</c:v>
                </c:pt>
                <c:pt idx="6">
                  <c:v>36200</c:v>
                </c:pt>
                <c:pt idx="7">
                  <c:v>32014</c:v>
                </c:pt>
                <c:pt idx="8">
                  <c:v>35973</c:v>
                </c:pt>
                <c:pt idx="9">
                  <c:v>36563</c:v>
                </c:pt>
                <c:pt idx="10">
                  <c:v>33590</c:v>
                </c:pt>
                <c:pt idx="11" formatCode="General">
                  <c:v>34493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cat>
            <c:strRef>
              <c:f>'2015'!$A$90:$A$101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'2015'!$C$90:$C$101</c:f>
              <c:numCache>
                <c:formatCode>0</c:formatCode>
                <c:ptCount val="12"/>
                <c:pt idx="0">
                  <c:v>21390</c:v>
                </c:pt>
                <c:pt idx="1">
                  <c:v>23269</c:v>
                </c:pt>
                <c:pt idx="2">
                  <c:v>25296</c:v>
                </c:pt>
                <c:pt idx="3">
                  <c:v>21427</c:v>
                </c:pt>
                <c:pt idx="4">
                  <c:v>20593</c:v>
                </c:pt>
                <c:pt idx="5">
                  <c:v>31326</c:v>
                </c:pt>
                <c:pt idx="6">
                  <c:v>25583</c:v>
                </c:pt>
                <c:pt idx="7">
                  <c:v>22572</c:v>
                </c:pt>
                <c:pt idx="8">
                  <c:v>24605</c:v>
                </c:pt>
                <c:pt idx="9">
                  <c:v>26847</c:v>
                </c:pt>
                <c:pt idx="10">
                  <c:v>27289</c:v>
                </c:pt>
                <c:pt idx="11" formatCode="General">
                  <c:v>26579</c:v>
                </c:pt>
              </c:numCache>
            </c:numRef>
          </c:val>
        </c:ser>
        <c:ser>
          <c:idx val="2"/>
          <c:order val="2"/>
          <c:tx>
            <c:v>Replies to requests</c:v>
          </c:tx>
          <c:invertIfNegative val="0"/>
          <c:dLbls>
            <c:dLbl>
              <c:idx val="0"/>
              <c:layout>
                <c:manualLayout>
                  <c:x val="9.876543209876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8765432098765656E-3"/>
                  <c:y val="-5.9534476013134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283950617283949E-2"/>
                  <c:y val="3.24737256875352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0987654320987655E-2"/>
                  <c:y val="5.9534476013134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'2015'!$D$90:$D$101</c:f>
              <c:numCache>
                <c:formatCode>0</c:formatCode>
                <c:ptCount val="12"/>
                <c:pt idx="0">
                  <c:v>20461</c:v>
                </c:pt>
                <c:pt idx="1">
                  <c:v>22281</c:v>
                </c:pt>
                <c:pt idx="2">
                  <c:v>24470</c:v>
                </c:pt>
                <c:pt idx="3">
                  <c:v>19174</c:v>
                </c:pt>
                <c:pt idx="4">
                  <c:v>20745</c:v>
                </c:pt>
                <c:pt idx="5">
                  <c:v>26829</c:v>
                </c:pt>
                <c:pt idx="6">
                  <c:v>26090</c:v>
                </c:pt>
                <c:pt idx="7">
                  <c:v>23276</c:v>
                </c:pt>
                <c:pt idx="8">
                  <c:v>26279</c:v>
                </c:pt>
                <c:pt idx="9">
                  <c:v>28529</c:v>
                </c:pt>
                <c:pt idx="10">
                  <c:v>26843</c:v>
                </c:pt>
                <c:pt idx="11" formatCode="General">
                  <c:v>25542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724096"/>
        <c:axId val="120729984"/>
        <c:axId val="0"/>
      </c:bar3DChart>
      <c:catAx>
        <c:axId val="12072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072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299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072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12306794983962"/>
          <c:y val="0.41935378292152631"/>
          <c:w val="0.12549071643822299"/>
          <c:h val="0.19498329392590313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Notifications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1532065664363893"/>
          <c:y val="3.80622844722265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'2015'!$A$287:$A$313</c:f>
              <c:strCache>
                <c:ptCount val="2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RO</c:v>
                </c:pt>
                <c:pt idx="24">
                  <c:v>SE</c:v>
                </c:pt>
                <c:pt idx="25">
                  <c:v>SI</c:v>
                </c:pt>
                <c:pt idx="26">
                  <c:v>SK</c:v>
                </c:pt>
              </c:strCache>
            </c:strRef>
          </c:cat>
          <c:val>
            <c:numRef>
              <c:f>'2015'!$B$287:$B$313</c:f>
              <c:numCache>
                <c:formatCode>General</c:formatCode>
                <c:ptCount val="27"/>
                <c:pt idx="0">
                  <c:v>15136</c:v>
                </c:pt>
                <c:pt idx="1">
                  <c:v>42172</c:v>
                </c:pt>
                <c:pt idx="2">
                  <c:v>52</c:v>
                </c:pt>
                <c:pt idx="3">
                  <c:v>3322</c:v>
                </c:pt>
                <c:pt idx="4">
                  <c:v>2890</c:v>
                </c:pt>
                <c:pt idx="5">
                  <c:v>118347</c:v>
                </c:pt>
                <c:pt idx="6">
                  <c:v>4132</c:v>
                </c:pt>
                <c:pt idx="7">
                  <c:v>68</c:v>
                </c:pt>
                <c:pt idx="8">
                  <c:v>41521</c:v>
                </c:pt>
                <c:pt idx="9">
                  <c:v>3707</c:v>
                </c:pt>
                <c:pt idx="10">
                  <c:v>33447</c:v>
                </c:pt>
                <c:pt idx="11">
                  <c:v>39762</c:v>
                </c:pt>
                <c:pt idx="13">
                  <c:v>167</c:v>
                </c:pt>
                <c:pt idx="14">
                  <c:v>2705</c:v>
                </c:pt>
                <c:pt idx="15">
                  <c:v>6724</c:v>
                </c:pt>
                <c:pt idx="16">
                  <c:v>78653</c:v>
                </c:pt>
                <c:pt idx="17">
                  <c:v>210</c:v>
                </c:pt>
                <c:pt idx="18">
                  <c:v>6440</c:v>
                </c:pt>
                <c:pt idx="19">
                  <c:v>124</c:v>
                </c:pt>
                <c:pt idx="20">
                  <c:v>2</c:v>
                </c:pt>
                <c:pt idx="21">
                  <c:v>15676</c:v>
                </c:pt>
                <c:pt idx="22">
                  <c:v>8983</c:v>
                </c:pt>
                <c:pt idx="23">
                  <c:v>589</c:v>
                </c:pt>
                <c:pt idx="24">
                  <c:v>6044</c:v>
                </c:pt>
                <c:pt idx="26">
                  <c:v>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768000"/>
        <c:axId val="120769536"/>
        <c:axId val="0"/>
      </c:bar3DChart>
      <c:catAx>
        <c:axId val="12076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076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6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0768000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"/>
          <c:y val="3.8062276385002689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'2015'!$A$324:$A$350</c:f>
              <c:strCache>
                <c:ptCount val="2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RO</c:v>
                </c:pt>
                <c:pt idx="24">
                  <c:v>SE</c:v>
                </c:pt>
                <c:pt idx="25">
                  <c:v>SI</c:v>
                </c:pt>
                <c:pt idx="26">
                  <c:v>SK</c:v>
                </c:pt>
              </c:strCache>
            </c:strRef>
          </c:cat>
          <c:val>
            <c:numRef>
              <c:f>'2015'!$B$324:$B$350</c:f>
              <c:numCache>
                <c:formatCode>General</c:formatCode>
                <c:ptCount val="27"/>
                <c:pt idx="0">
                  <c:v>24280</c:v>
                </c:pt>
                <c:pt idx="1">
                  <c:v>2260</c:v>
                </c:pt>
                <c:pt idx="2">
                  <c:v>58</c:v>
                </c:pt>
                <c:pt idx="3">
                  <c:v>179</c:v>
                </c:pt>
                <c:pt idx="4">
                  <c:v>9789</c:v>
                </c:pt>
                <c:pt idx="5">
                  <c:v>118599</c:v>
                </c:pt>
                <c:pt idx="6">
                  <c:v>1567</c:v>
                </c:pt>
                <c:pt idx="7">
                  <c:v>207</c:v>
                </c:pt>
                <c:pt idx="8">
                  <c:v>11935</c:v>
                </c:pt>
                <c:pt idx="9">
                  <c:v>3003</c:v>
                </c:pt>
                <c:pt idx="10">
                  <c:v>13237</c:v>
                </c:pt>
                <c:pt idx="11">
                  <c:v>87252</c:v>
                </c:pt>
                <c:pt idx="13">
                  <c:v>237</c:v>
                </c:pt>
                <c:pt idx="14">
                  <c:v>127</c:v>
                </c:pt>
                <c:pt idx="15">
                  <c:v>863</c:v>
                </c:pt>
                <c:pt idx="16">
                  <c:v>49</c:v>
                </c:pt>
                <c:pt idx="17">
                  <c:v>1275</c:v>
                </c:pt>
                <c:pt idx="18">
                  <c:v>3990</c:v>
                </c:pt>
                <c:pt idx="19">
                  <c:v>253</c:v>
                </c:pt>
                <c:pt idx="21">
                  <c:v>7248</c:v>
                </c:pt>
                <c:pt idx="22">
                  <c:v>6162</c:v>
                </c:pt>
                <c:pt idx="23">
                  <c:v>881</c:v>
                </c:pt>
                <c:pt idx="24">
                  <c:v>3224</c:v>
                </c:pt>
                <c:pt idx="26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778112"/>
        <c:axId val="120947840"/>
        <c:axId val="0"/>
      </c:bar3DChart>
      <c:catAx>
        <c:axId val="12077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094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4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077811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Active Interconnection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ratio</a:t>
            </a:r>
            <a:r>
              <a:rPr lang="en-GB" sz="1050">
                <a:latin typeface="Arial" pitchFamily="34" charset="0"/>
                <a:cs typeface="Arial" pitchFamily="34" charset="0"/>
              </a:rPr>
              <a:t> per month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00">
                <a:latin typeface="Arial" pitchFamily="34" charset="0"/>
                <a:cs typeface="Arial" pitchFamily="34" charset="0"/>
              </a:rPr>
              <a:t>(based on the number of "live" MS)</a:t>
            </a:r>
          </a:p>
        </c:rich>
      </c:tx>
      <c:layout>
        <c:manualLayout>
          <c:xMode val="edge"/>
          <c:yMode val="edge"/>
          <c:x val="0.33295291147490813"/>
          <c:y val="3.806239301480089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390004438763033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'2015'!$C$18:$C$29</c:f>
              <c:numCache>
                <c:formatCode>0%</c:formatCode>
                <c:ptCount val="12"/>
                <c:pt idx="0">
                  <c:v>0.75384615384615383</c:v>
                </c:pt>
                <c:pt idx="1">
                  <c:v>0.76615384615384619</c:v>
                </c:pt>
                <c:pt idx="2">
                  <c:v>0.83666666666666667</c:v>
                </c:pt>
                <c:pt idx="3">
                  <c:v>0.83666666666666667</c:v>
                </c:pt>
                <c:pt idx="4">
                  <c:v>0.83499999999999996</c:v>
                </c:pt>
                <c:pt idx="5">
                  <c:v>0.84333333333333338</c:v>
                </c:pt>
                <c:pt idx="6">
                  <c:v>0.84</c:v>
                </c:pt>
                <c:pt idx="7">
                  <c:v>0.83833333333333337</c:v>
                </c:pt>
                <c:pt idx="8">
                  <c:v>0.83</c:v>
                </c:pt>
                <c:pt idx="9">
                  <c:v>0.85833333333333328</c:v>
                </c:pt>
                <c:pt idx="10">
                  <c:v>0.85333333333333339</c:v>
                </c:pt>
                <c:pt idx="11">
                  <c:v>0.8833333333333333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849536"/>
        <c:axId val="120851072"/>
        <c:axId val="0"/>
      </c:bar3DChart>
      <c:catAx>
        <c:axId val="1208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085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510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084953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Notifications</a:t>
            </a:r>
          </a:p>
        </c:rich>
      </c:tx>
      <c:layout>
        <c:manualLayout>
          <c:xMode val="edge"/>
          <c:yMode val="edge"/>
          <c:x val="0.38265831955677027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'2015'!$A$165:$A$166</c:f>
              <c:strCache>
                <c:ptCount val="2"/>
                <c:pt idx="0">
                  <c:v>New conviction</c:v>
                </c:pt>
                <c:pt idx="1">
                  <c:v>Conviction update</c:v>
                </c:pt>
              </c:strCache>
            </c:strRef>
          </c:cat>
          <c:val>
            <c:numRef>
              <c:f>'2015'!$D$165:$D$166</c:f>
              <c:numCache>
                <c:formatCode>0</c:formatCode>
                <c:ptCount val="2"/>
                <c:pt idx="0">
                  <c:v>320799</c:v>
                </c:pt>
                <c:pt idx="1">
                  <c:v>110376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979464476130121"/>
          <c:y val="0.3219604761021479"/>
          <c:w val="0.36611464621332324"/>
          <c:h val="0.471571362734993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Requests</a:t>
            </a:r>
          </a:p>
        </c:rich>
      </c:tx>
      <c:layout>
        <c:manualLayout>
          <c:xMode val="edge"/>
          <c:yMode val="edge"/>
          <c:x val="0.42884961981943015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91634331174802E-2"/>
          <c:y val="0.23086861934074143"/>
          <c:w val="0.30881801231787875"/>
          <c:h val="0.696274213215895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'2015'!$A$170:$A$171</c:f>
              <c:strCache>
                <c:ptCount val="2"/>
                <c:pt idx="0">
                  <c:v>For criminal proceedings</c:v>
                </c:pt>
                <c:pt idx="1">
                  <c:v>For other purposes</c:v>
                </c:pt>
              </c:strCache>
            </c:strRef>
          </c:cat>
          <c:val>
            <c:numRef>
              <c:f>'2015'!$D$170:$D$171</c:f>
              <c:numCache>
                <c:formatCode>0</c:formatCode>
                <c:ptCount val="2"/>
                <c:pt idx="0">
                  <c:v>244604</c:v>
                </c:pt>
                <c:pt idx="1">
                  <c:v>45143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78852376287587"/>
          <c:y val="0.35212895272443101"/>
          <c:w val="0.46147489422936927"/>
          <c:h val="0.422999917772750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Replies to notifications</a:t>
            </a:r>
          </a:p>
        </c:rich>
      </c:tx>
      <c:layout>
        <c:manualLayout>
          <c:xMode val="edge"/>
          <c:yMode val="edge"/>
          <c:x val="0.46595756184368031"/>
          <c:y val="4.70586299365391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413196726262937E-2"/>
          <c:y val="0.25352254524570333"/>
          <c:w val="0.4807683507021035"/>
          <c:h val="0.66964214573600722"/>
        </c:manualLayout>
      </c:layout>
      <c:pieChart>
        <c:varyColors val="1"/>
        <c:ser>
          <c:idx val="2"/>
          <c:order val="0"/>
          <c:dLbls>
            <c:dLbl>
              <c:idx val="0"/>
              <c:layout>
                <c:manualLayout>
                  <c:x val="0.22382133511772259"/>
                  <c:y val="0.231738416146778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0937990341276075"/>
                  <c:y val="0.349433302326964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254194080238225"/>
                  <c:y val="0.483987513997795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6178420710852773"/>
                  <c:y val="0.603389093153583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5229099652753351"/>
                  <c:y val="-3.22982659776270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'2015'!$A$191:$D$195</c:f>
              <c:strCache>
                <c:ptCount val="5"/>
                <c:pt idx="0">
                  <c:v>fingerprints do not match</c:v>
                </c:pt>
                <c:pt idx="1">
                  <c:v>multiple persons found</c:v>
                </c:pt>
                <c:pt idx="2">
                  <c:v>person deceased</c:v>
                </c:pt>
                <c:pt idx="3">
                  <c:v>not a national </c:v>
                </c:pt>
                <c:pt idx="4">
                  <c:v>notification receipt</c:v>
                </c:pt>
              </c:strCache>
            </c:strRef>
          </c:cat>
          <c:val>
            <c:numRef>
              <c:f>'2015'!$E$191:$E$195</c:f>
              <c:numCache>
                <c:formatCode>General</c:formatCode>
                <c:ptCount val="5"/>
                <c:pt idx="0">
                  <c:v>1</c:v>
                </c:pt>
                <c:pt idx="1">
                  <c:v>5995</c:v>
                </c:pt>
                <c:pt idx="2">
                  <c:v>340</c:v>
                </c:pt>
                <c:pt idx="3">
                  <c:v>20089</c:v>
                </c:pt>
                <c:pt idx="4">
                  <c:v>427600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146528434634443"/>
          <c:y val="0.3462461985832691"/>
          <c:w val="0.47331816757484874"/>
          <c:h val="0.63865283485303115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New transactions per month</a:t>
            </a:r>
          </a:p>
        </c:rich>
      </c:tx>
      <c:layout>
        <c:manualLayout>
          <c:xMode val="edge"/>
          <c:yMode val="edge"/>
          <c:x val="0.38638267312334035"/>
          <c:y val="3.8194545622316764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837152818436273E-2"/>
          <c:y val="0.16319499781289948"/>
          <c:w val="0.81055126464177929"/>
          <c:h val="0.70486350119188501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'2012'!$A$75:$A$83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'2012'!$B$75:$B$83</c:f>
              <c:numCache>
                <c:formatCode>0</c:formatCode>
                <c:ptCount val="9"/>
                <c:pt idx="0">
                  <c:v>197</c:v>
                </c:pt>
                <c:pt idx="1">
                  <c:v>8884</c:v>
                </c:pt>
                <c:pt idx="2">
                  <c:v>12137</c:v>
                </c:pt>
                <c:pt idx="3">
                  <c:v>8453</c:v>
                </c:pt>
                <c:pt idx="4">
                  <c:v>8723</c:v>
                </c:pt>
                <c:pt idx="5">
                  <c:v>9893</c:v>
                </c:pt>
                <c:pt idx="6">
                  <c:v>10702</c:v>
                </c:pt>
                <c:pt idx="7">
                  <c:v>8032</c:v>
                </c:pt>
                <c:pt idx="8" formatCode="General">
                  <c:v>9590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dLbls>
            <c:dLbl>
              <c:idx val="0"/>
              <c:layout>
                <c:manualLayout>
                  <c:x val="1.45092466299006E-2"/>
                  <c:y val="-3.187101672791205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897108115467199E-2"/>
                  <c:y val="7.42054933693527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'2012'!$A$75:$A$83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'2012'!$C$75:$C$83</c:f>
              <c:numCache>
                <c:formatCode>0</c:formatCode>
                <c:ptCount val="9"/>
                <c:pt idx="0">
                  <c:v>89</c:v>
                </c:pt>
                <c:pt idx="1">
                  <c:v>3948</c:v>
                </c:pt>
                <c:pt idx="2">
                  <c:v>4953</c:v>
                </c:pt>
                <c:pt idx="3">
                  <c:v>6203</c:v>
                </c:pt>
                <c:pt idx="4">
                  <c:v>6798</c:v>
                </c:pt>
                <c:pt idx="5">
                  <c:v>6612</c:v>
                </c:pt>
                <c:pt idx="6">
                  <c:v>8090</c:v>
                </c:pt>
                <c:pt idx="7">
                  <c:v>8002</c:v>
                </c:pt>
                <c:pt idx="8" formatCode="General">
                  <c:v>6214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60640"/>
        <c:axId val="89382912"/>
        <c:axId val="0"/>
      </c:bar3DChart>
      <c:catAx>
        <c:axId val="893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938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829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936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98330167237156"/>
          <c:y val="0.43234309022015543"/>
          <c:w val="0.11523944337630647"/>
          <c:h val="0.15160755814787324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Replies to requests</a:t>
            </a:r>
          </a:p>
        </c:rich>
      </c:tx>
      <c:layout>
        <c:manualLayout>
          <c:xMode val="edge"/>
          <c:yMode val="edge"/>
          <c:x val="0.32370523160027315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527640742501042E-2"/>
          <c:y val="0.24705910099482223"/>
          <c:w val="0.29771630464219884"/>
          <c:h val="0.67198849073477374"/>
        </c:manualLayout>
      </c:layout>
      <c:pieChart>
        <c:varyColors val="1"/>
        <c:ser>
          <c:idx val="4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explosion val="8"/>
          </c:dPt>
          <c:dLbls>
            <c:dLbl>
              <c:idx val="0"/>
              <c:layout>
                <c:manualLayout>
                  <c:x val="-0.11202470131881924"/>
                  <c:y val="-5.38462150790182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983216006093431E-2"/>
                  <c:y val="3.30933660346908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3955389489603504E-3"/>
                  <c:y val="4.810225011762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183208709503614E-2"/>
                  <c:y val="2.66162180913529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2822420688299394"/>
                  <c:y val="0.391430054553003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20308325540242925"/>
                  <c:y val="0.499076817885307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9875136450167047"/>
                  <c:y val="0.604518166807926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'2015'!$A$200:$A$206</c:f>
              <c:strCache>
                <c:ptCount val="7"/>
                <c:pt idx="0">
                  <c:v>Response: no convictions</c:v>
                </c:pt>
                <c:pt idx="1">
                  <c:v>Response: one or more convictions</c:v>
                </c:pt>
                <c:pt idx="2">
                  <c:v>Denial</c:v>
                </c:pt>
                <c:pt idx="3">
                  <c:v>multiple persons found</c:v>
                </c:pt>
                <c:pt idx="4">
                  <c:v>person deceased</c:v>
                </c:pt>
                <c:pt idx="5">
                  <c:v>not a national</c:v>
                </c:pt>
                <c:pt idx="6">
                  <c:v>fingerprints do not match main indentity</c:v>
                </c:pt>
              </c:strCache>
            </c:strRef>
          </c:cat>
          <c:val>
            <c:numRef>
              <c:f>'2015'!$F$200:$F$206</c:f>
              <c:numCache>
                <c:formatCode>General</c:formatCode>
                <c:ptCount val="7"/>
                <c:pt idx="0">
                  <c:v>180128</c:v>
                </c:pt>
                <c:pt idx="1">
                  <c:v>92004</c:v>
                </c:pt>
                <c:pt idx="2" formatCode="0">
                  <c:v>4371</c:v>
                </c:pt>
                <c:pt idx="3">
                  <c:v>4156</c:v>
                </c:pt>
                <c:pt idx="4">
                  <c:v>108</c:v>
                </c:pt>
                <c:pt idx="5">
                  <c:v>9751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890540058931538"/>
          <c:y val="0.24689066459972567"/>
          <c:w val="0.60607338258791577"/>
          <c:h val="0.731642300219782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requests</a:t>
            </a:r>
          </a:p>
        </c:rich>
      </c:tx>
      <c:layout>
        <c:manualLayout>
          <c:xMode val="edge"/>
          <c:yMode val="edge"/>
          <c:x val="0.26649383571278401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2"/>
              <c:layout>
                <c:manualLayout>
                  <c:x val="1.6516750435228473E-4"/>
                  <c:y val="2.14135310174686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'2015'!$A$177:$A$179</c:f>
              <c:strCache>
                <c:ptCount val="3"/>
                <c:pt idx="0">
                  <c:v>EU</c:v>
                </c:pt>
                <c:pt idx="1">
                  <c:v>Third country</c:v>
                </c:pt>
                <c:pt idx="2">
                  <c:v>Stateless</c:v>
                </c:pt>
              </c:strCache>
            </c:strRef>
          </c:cat>
          <c:val>
            <c:numRef>
              <c:f>'2015'!$D$177:$D$179</c:f>
              <c:numCache>
                <c:formatCode>0</c:formatCode>
                <c:ptCount val="3"/>
                <c:pt idx="0">
                  <c:v>261944</c:v>
                </c:pt>
                <c:pt idx="1">
                  <c:v>27704</c:v>
                </c:pt>
                <c:pt idx="2">
                  <c:v>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01"/>
          <c:y val="0.33815074221200081"/>
          <c:w val="0.28585927184120935"/>
          <c:h val="0.365309301744491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Responses (Responses, Problems, Denial)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540299604572732"/>
          <c:y val="7.6917577426221809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827613012743302E-2"/>
          <c:y val="8.8453464094153639E-2"/>
          <c:w val="0.9309724543527369"/>
          <c:h val="0.8677946025339056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'2015'!$A$359:$A$385</c:f>
              <c:strCache>
                <c:ptCount val="2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RO</c:v>
                </c:pt>
                <c:pt idx="24">
                  <c:v>SE</c:v>
                </c:pt>
                <c:pt idx="25">
                  <c:v>SI</c:v>
                </c:pt>
                <c:pt idx="26">
                  <c:v>SK</c:v>
                </c:pt>
              </c:strCache>
            </c:strRef>
          </c:cat>
          <c:val>
            <c:numRef>
              <c:f>'2015'!$B$359:$B$385</c:f>
              <c:numCache>
                <c:formatCode>General</c:formatCode>
                <c:ptCount val="27"/>
                <c:pt idx="0">
                  <c:v>8623</c:v>
                </c:pt>
                <c:pt idx="1">
                  <c:v>5961</c:v>
                </c:pt>
                <c:pt idx="2">
                  <c:v>7162</c:v>
                </c:pt>
                <c:pt idx="3">
                  <c:v>81</c:v>
                </c:pt>
                <c:pt idx="4">
                  <c:v>7689</c:v>
                </c:pt>
                <c:pt idx="5">
                  <c:v>21506</c:v>
                </c:pt>
                <c:pt idx="6">
                  <c:v>1946</c:v>
                </c:pt>
                <c:pt idx="7">
                  <c:v>2687</c:v>
                </c:pt>
                <c:pt idx="8">
                  <c:v>8794</c:v>
                </c:pt>
                <c:pt idx="9">
                  <c:v>1397</c:v>
                </c:pt>
                <c:pt idx="10">
                  <c:v>13594</c:v>
                </c:pt>
                <c:pt idx="11">
                  <c:v>9304</c:v>
                </c:pt>
                <c:pt idx="12">
                  <c:v>2842</c:v>
                </c:pt>
                <c:pt idx="13">
                  <c:v>4640</c:v>
                </c:pt>
                <c:pt idx="14">
                  <c:v>7311</c:v>
                </c:pt>
                <c:pt idx="15">
                  <c:v>7064</c:v>
                </c:pt>
                <c:pt idx="16">
                  <c:v>16709</c:v>
                </c:pt>
                <c:pt idx="17">
                  <c:v>13344</c:v>
                </c:pt>
                <c:pt idx="18">
                  <c:v>1528</c:v>
                </c:pt>
                <c:pt idx="19">
                  <c:v>7041</c:v>
                </c:pt>
                <c:pt idx="21">
                  <c:v>11339</c:v>
                </c:pt>
                <c:pt idx="22">
                  <c:v>53467</c:v>
                </c:pt>
                <c:pt idx="23">
                  <c:v>49140</c:v>
                </c:pt>
                <c:pt idx="24">
                  <c:v>2631</c:v>
                </c:pt>
                <c:pt idx="26">
                  <c:v>6332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169408"/>
        <c:axId val="121170944"/>
        <c:axId val="0"/>
      </c:bar3DChart>
      <c:catAx>
        <c:axId val="12116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117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7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2116940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</a:t>
            </a:r>
            <a:r>
              <a:rPr lang="en-GB" sz="1050" baseline="0"/>
              <a:t> responses</a:t>
            </a:r>
            <a:endParaRPr lang="en-GB" sz="1050"/>
          </a:p>
        </c:rich>
      </c:tx>
      <c:layout>
        <c:manualLayout>
          <c:xMode val="edge"/>
          <c:yMode val="edge"/>
          <c:x val="0.26649383571278401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2"/>
              <c:layout>
                <c:manualLayout>
                  <c:x val="1.6516750435228473E-4"/>
                  <c:y val="2.14135310174686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'2015'!$A$184:$A$186</c:f>
              <c:strCache>
                <c:ptCount val="3"/>
                <c:pt idx="0">
                  <c:v>EU</c:v>
                </c:pt>
                <c:pt idx="1">
                  <c:v>Third country</c:v>
                </c:pt>
                <c:pt idx="2">
                  <c:v>Stateless</c:v>
                </c:pt>
              </c:strCache>
            </c:strRef>
          </c:cat>
          <c:val>
            <c:numRef>
              <c:f>'2015'!$D$184:$D$186</c:f>
              <c:numCache>
                <c:formatCode>0</c:formatCode>
                <c:ptCount val="3"/>
                <c:pt idx="0">
                  <c:v>249197</c:v>
                </c:pt>
                <c:pt idx="1">
                  <c:v>22841</c:v>
                </c:pt>
                <c:pt idx="2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01"/>
          <c:y val="0.33815074221200081"/>
          <c:w val="0.28585927184120935"/>
          <c:h val="0.386766590397184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1" i="0" baseline="0">
                <a:effectLst/>
              </a:rPr>
              <a:t>% of Request  with expired deadline per destination</a:t>
            </a:r>
            <a:endParaRPr lang="en-GB" sz="1200">
              <a:effectLst/>
            </a:endParaRPr>
          </a:p>
        </c:rich>
      </c:tx>
      <c:overlay val="0"/>
    </c:title>
    <c:autoTitleDeleted val="0"/>
    <c:view3D>
      <c:rotX val="0"/>
      <c:rotY val="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'2015'!$C$429</c:f>
              <c:strCache>
                <c:ptCount val="1"/>
                <c:pt idx="0">
                  <c:v>% of Req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'2015'!$A$430:$A$442</c:f>
              <c:strCache>
                <c:ptCount val="13"/>
                <c:pt idx="0">
                  <c:v>BG</c:v>
                </c:pt>
                <c:pt idx="1">
                  <c:v>CY</c:v>
                </c:pt>
                <c:pt idx="2">
                  <c:v>DE</c:v>
                </c:pt>
                <c:pt idx="3">
                  <c:v>DK</c:v>
                </c:pt>
                <c:pt idx="4">
                  <c:v>EE</c:v>
                </c:pt>
                <c:pt idx="5">
                  <c:v>FR</c:v>
                </c:pt>
                <c:pt idx="6">
                  <c:v>GR</c:v>
                </c:pt>
                <c:pt idx="7">
                  <c:v>HR</c:v>
                </c:pt>
                <c:pt idx="8">
                  <c:v>HU</c:v>
                </c:pt>
                <c:pt idx="9">
                  <c:v>LT</c:v>
                </c:pt>
                <c:pt idx="10">
                  <c:v>LV</c:v>
                </c:pt>
                <c:pt idx="11">
                  <c:v>NL</c:v>
                </c:pt>
                <c:pt idx="12">
                  <c:v>PL</c:v>
                </c:pt>
              </c:strCache>
            </c:strRef>
          </c:cat>
          <c:val>
            <c:numRef>
              <c:f>'2015'!$C$430:$C$442</c:f>
              <c:numCache>
                <c:formatCode>0.0%</c:formatCode>
                <c:ptCount val="13"/>
                <c:pt idx="0">
                  <c:v>7.7039185509648389E-2</c:v>
                </c:pt>
                <c:pt idx="1">
                  <c:v>4.1875284478834776E-2</c:v>
                </c:pt>
                <c:pt idx="2">
                  <c:v>2.5801620948892552E-4</c:v>
                </c:pt>
                <c:pt idx="3">
                  <c:v>1.0255038344925985E-2</c:v>
                </c:pt>
                <c:pt idx="4">
                  <c:v>1.5427978044800474E-2</c:v>
                </c:pt>
                <c:pt idx="5">
                  <c:v>9.8485427981335571E-4</c:v>
                </c:pt>
                <c:pt idx="6">
                  <c:v>0.13234759423100231</c:v>
                </c:pt>
                <c:pt idx="7">
                  <c:v>7.4717285945072702E-3</c:v>
                </c:pt>
                <c:pt idx="8">
                  <c:v>4.8738270930126625E-3</c:v>
                </c:pt>
                <c:pt idx="9">
                  <c:v>2.1770898571471177E-3</c:v>
                </c:pt>
                <c:pt idx="10">
                  <c:v>1.1210625723511851E-2</c:v>
                </c:pt>
                <c:pt idx="11">
                  <c:v>3.5106812476961156E-5</c:v>
                </c:pt>
                <c:pt idx="12">
                  <c:v>8.0109291962606128E-4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317248"/>
        <c:axId val="121318784"/>
        <c:axId val="0"/>
      </c:bar3DChart>
      <c:catAx>
        <c:axId val="12131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1318784"/>
        <c:crosses val="autoZero"/>
        <c:auto val="1"/>
        <c:lblAlgn val="ctr"/>
        <c:lblOffset val="100"/>
        <c:noMultiLvlLbl val="0"/>
      </c:catAx>
      <c:valAx>
        <c:axId val="1213187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2131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'2013 Top Destinations'!$F$2:$F$3</c:f>
              <c:strCache>
                <c:ptCount val="1"/>
                <c:pt idx="0">
                  <c:v>DE Top 4 %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'2013 Top Destinations'!$E$4:$E$8</c:f>
              <c:strCache>
                <c:ptCount val="5"/>
                <c:pt idx="0">
                  <c:v>PL</c:v>
                </c:pt>
                <c:pt idx="1">
                  <c:v>FR</c:v>
                </c:pt>
                <c:pt idx="2">
                  <c:v>IT</c:v>
                </c:pt>
                <c:pt idx="3">
                  <c:v>AT</c:v>
                </c:pt>
                <c:pt idx="4">
                  <c:v>others 8</c:v>
                </c:pt>
              </c:strCache>
            </c:strRef>
          </c:cat>
          <c:val>
            <c:numRef>
              <c:f>'2013 Top Destinations'!$F$4:$F$8</c:f>
              <c:numCache>
                <c:formatCode>0.0%</c:formatCode>
                <c:ptCount val="5"/>
                <c:pt idx="0">
                  <c:v>0.53735172187333247</c:v>
                </c:pt>
                <c:pt idx="1">
                  <c:v>0.12040799573123179</c:v>
                </c:pt>
                <c:pt idx="2">
                  <c:v>9.7483889504576607E-2</c:v>
                </c:pt>
                <c:pt idx="3">
                  <c:v>9.2496818946763537E-2</c:v>
                </c:pt>
                <c:pt idx="4">
                  <c:v>0.1047079587899684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'2013 Top Destinations'!$F$19:$F$20</c:f>
              <c:strCache>
                <c:ptCount val="1"/>
                <c:pt idx="0">
                  <c:v>GB Top 4 %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'2013 Top Destinations'!$E$21:$E$25</c:f>
              <c:strCache>
                <c:ptCount val="5"/>
                <c:pt idx="0">
                  <c:v>RO</c:v>
                </c:pt>
                <c:pt idx="1">
                  <c:v>PL</c:v>
                </c:pt>
                <c:pt idx="2">
                  <c:v>LT</c:v>
                </c:pt>
                <c:pt idx="3">
                  <c:v>LV</c:v>
                </c:pt>
                <c:pt idx="4">
                  <c:v>others 13</c:v>
                </c:pt>
              </c:strCache>
            </c:strRef>
          </c:cat>
          <c:val>
            <c:numRef>
              <c:f>'2013 Top Destinations'!$F$21:$F$25</c:f>
              <c:numCache>
                <c:formatCode>0.0%</c:formatCode>
                <c:ptCount val="5"/>
                <c:pt idx="0">
                  <c:v>0.2563230753217916</c:v>
                </c:pt>
                <c:pt idx="1">
                  <c:v>0.22794296221767338</c:v>
                </c:pt>
                <c:pt idx="2">
                  <c:v>0.1832911216736634</c:v>
                </c:pt>
                <c:pt idx="3">
                  <c:v>6.810533254692433E-2</c:v>
                </c:pt>
                <c:pt idx="4">
                  <c:v>0.2381431495680533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'2013 Top Destinations'!$F$41:$F$42</c:f>
              <c:strCache>
                <c:ptCount val="1"/>
                <c:pt idx="0">
                  <c:v>AT Top 4 %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'2013 Top Destinations'!$E$43:$E$47</c:f>
              <c:strCache>
                <c:ptCount val="5"/>
                <c:pt idx="0">
                  <c:v>DE</c:v>
                </c:pt>
                <c:pt idx="1">
                  <c:v>RO</c:v>
                </c:pt>
                <c:pt idx="2">
                  <c:v>PL</c:v>
                </c:pt>
                <c:pt idx="3">
                  <c:v>HR</c:v>
                </c:pt>
                <c:pt idx="4">
                  <c:v>others 19</c:v>
                </c:pt>
              </c:strCache>
            </c:strRef>
          </c:cat>
          <c:val>
            <c:numRef>
              <c:f>'2013 Top Destinations'!$F$43:$F$47</c:f>
              <c:numCache>
                <c:formatCode>0.0%</c:formatCode>
                <c:ptCount val="5"/>
                <c:pt idx="0">
                  <c:v>0.466788350130942</c:v>
                </c:pt>
                <c:pt idx="1">
                  <c:v>0.12963256884374255</c:v>
                </c:pt>
                <c:pt idx="2">
                  <c:v>8.9199269899214353E-2</c:v>
                </c:pt>
                <c:pt idx="3">
                  <c:v>4.9083406078882626E-2</c:v>
                </c:pt>
                <c:pt idx="4">
                  <c:v>0.26529640504721846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'2013 Top Destinations'!$F$69:$F$70</c:f>
              <c:strCache>
                <c:ptCount val="1"/>
                <c:pt idx="0">
                  <c:v>DE Top 4 %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'2013 Top Destinations'!$E$71:$E$75</c:f>
              <c:strCache>
                <c:ptCount val="5"/>
                <c:pt idx="0">
                  <c:v>PL</c:v>
                </c:pt>
                <c:pt idx="1">
                  <c:v>IT</c:v>
                </c:pt>
                <c:pt idx="2">
                  <c:v>AT</c:v>
                </c:pt>
                <c:pt idx="3">
                  <c:v>FR</c:v>
                </c:pt>
                <c:pt idx="4">
                  <c:v>others 8</c:v>
                </c:pt>
              </c:strCache>
            </c:strRef>
          </c:cat>
          <c:val>
            <c:numRef>
              <c:f>'2013 Top Destinations'!$F$71:$F$75</c:f>
              <c:numCache>
                <c:formatCode>0.0%</c:formatCode>
                <c:ptCount val="5"/>
                <c:pt idx="0">
                  <c:v>0.58891287158335648</c:v>
                </c:pt>
                <c:pt idx="1">
                  <c:v>0.12446306071420939</c:v>
                </c:pt>
                <c:pt idx="2">
                  <c:v>7.5224926805291387E-2</c:v>
                </c:pt>
                <c:pt idx="3">
                  <c:v>7.4348727373752491E-2</c:v>
                </c:pt>
                <c:pt idx="4">
                  <c:v>9.8689974996260116E-2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'2013 Top Destinations'!$F$86:$F$87</c:f>
              <c:strCache>
                <c:ptCount val="1"/>
                <c:pt idx="0">
                  <c:v>IT Top 4 %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'2013 Top Destinations'!$E$88:$E$92</c:f>
              <c:strCache>
                <c:ptCount val="5"/>
                <c:pt idx="0">
                  <c:v>RO</c:v>
                </c:pt>
                <c:pt idx="1">
                  <c:v>PL</c:v>
                </c:pt>
                <c:pt idx="2">
                  <c:v>BG</c:v>
                </c:pt>
                <c:pt idx="3">
                  <c:v>FR</c:v>
                </c:pt>
                <c:pt idx="4">
                  <c:v>others 12</c:v>
                </c:pt>
              </c:strCache>
            </c:strRef>
          </c:cat>
          <c:val>
            <c:numRef>
              <c:f>'2013 Top Destinations'!$F$88:$F$92</c:f>
              <c:numCache>
                <c:formatCode>0.0%</c:formatCode>
                <c:ptCount val="5"/>
                <c:pt idx="0">
                  <c:v>0.53188949115308393</c:v>
                </c:pt>
                <c:pt idx="1">
                  <c:v>0.12927720337161824</c:v>
                </c:pt>
                <c:pt idx="2">
                  <c:v>0.12087203610401394</c:v>
                </c:pt>
                <c:pt idx="3">
                  <c:v>3.741732133049977E-2</c:v>
                </c:pt>
                <c:pt idx="4">
                  <c:v>0.18054394804078419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931238754400414"/>
          <c:y val="3.8062260864063488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'2012'!$A$215:$A$234</c:f>
              <c:strCache>
                <c:ptCount val="20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CZ</c:v>
                </c:pt>
                <c:pt idx="4">
                  <c:v>DE</c:v>
                </c:pt>
                <c:pt idx="5">
                  <c:v>DK</c:v>
                </c:pt>
                <c:pt idx="6">
                  <c:v>EE</c:v>
                </c:pt>
                <c:pt idx="7">
                  <c:v>ES</c:v>
                </c:pt>
                <c:pt idx="8">
                  <c:v>FI</c:v>
                </c:pt>
                <c:pt idx="9">
                  <c:v>FR</c:v>
                </c:pt>
                <c:pt idx="10">
                  <c:v>GB</c:v>
                </c:pt>
                <c:pt idx="11">
                  <c:v>GR</c:v>
                </c:pt>
                <c:pt idx="12">
                  <c:v>HU</c:v>
                </c:pt>
                <c:pt idx="13">
                  <c:v>IE</c:v>
                </c:pt>
                <c:pt idx="14">
                  <c:v>LT</c:v>
                </c:pt>
                <c:pt idx="15">
                  <c:v>LV</c:v>
                </c:pt>
                <c:pt idx="16">
                  <c:v>NL</c:v>
                </c:pt>
                <c:pt idx="17">
                  <c:v>PL</c:v>
                </c:pt>
                <c:pt idx="18">
                  <c:v>RO</c:v>
                </c:pt>
                <c:pt idx="19">
                  <c:v>SK</c:v>
                </c:pt>
              </c:strCache>
            </c:strRef>
          </c:cat>
          <c:val>
            <c:numRef>
              <c:f>'2012'!$B$215:$B$234</c:f>
              <c:numCache>
                <c:formatCode>General</c:formatCode>
                <c:ptCount val="20"/>
                <c:pt idx="0">
                  <c:v>24365</c:v>
                </c:pt>
                <c:pt idx="1">
                  <c:v>1367</c:v>
                </c:pt>
                <c:pt idx="2">
                  <c:v>997</c:v>
                </c:pt>
                <c:pt idx="3">
                  <c:v>779</c:v>
                </c:pt>
                <c:pt idx="4">
                  <c:v>58094</c:v>
                </c:pt>
                <c:pt idx="5">
                  <c:v>666</c:v>
                </c:pt>
                <c:pt idx="6">
                  <c:v>1499</c:v>
                </c:pt>
                <c:pt idx="7">
                  <c:v>31724</c:v>
                </c:pt>
                <c:pt idx="8">
                  <c:v>945</c:v>
                </c:pt>
                <c:pt idx="9">
                  <c:v>35151</c:v>
                </c:pt>
                <c:pt idx="10">
                  <c:v>27253</c:v>
                </c:pt>
                <c:pt idx="11">
                  <c:v>498</c:v>
                </c:pt>
                <c:pt idx="12">
                  <c:v>230</c:v>
                </c:pt>
                <c:pt idx="13">
                  <c:v>120</c:v>
                </c:pt>
                <c:pt idx="14">
                  <c:v>8848</c:v>
                </c:pt>
                <c:pt idx="15">
                  <c:v>1132</c:v>
                </c:pt>
                <c:pt idx="16">
                  <c:v>5054</c:v>
                </c:pt>
                <c:pt idx="17">
                  <c:v>64352</c:v>
                </c:pt>
                <c:pt idx="18">
                  <c:v>36647</c:v>
                </c:pt>
                <c:pt idx="19">
                  <c:v>1252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680448"/>
        <c:axId val="100681984"/>
        <c:axId val="0"/>
      </c:bar3DChart>
      <c:catAx>
        <c:axId val="1006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068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681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0680448"/>
        <c:crosses val="autoZero"/>
        <c:crossBetween val="between"/>
        <c:majorUnit val="10000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'2013 Top Destinations'!$F$106:$F$107</c:f>
              <c:strCache>
                <c:ptCount val="1"/>
                <c:pt idx="0">
                  <c:v>GB Top 5 %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'2013 Top Destinations'!$E$108:$E$113</c:f>
              <c:strCache>
                <c:ptCount val="6"/>
                <c:pt idx="0">
                  <c:v>PL</c:v>
                </c:pt>
                <c:pt idx="1">
                  <c:v>RO</c:v>
                </c:pt>
                <c:pt idx="2">
                  <c:v>LT</c:v>
                </c:pt>
                <c:pt idx="3">
                  <c:v>LV</c:v>
                </c:pt>
                <c:pt idx="4">
                  <c:v>IE</c:v>
                </c:pt>
                <c:pt idx="5">
                  <c:v>others 13</c:v>
                </c:pt>
              </c:strCache>
            </c:strRef>
          </c:cat>
          <c:val>
            <c:numRef>
              <c:f>'2013 Top Destinations'!$F$108:$F$113</c:f>
              <c:numCache>
                <c:formatCode>0.0%</c:formatCode>
                <c:ptCount val="6"/>
                <c:pt idx="0">
                  <c:v>0.28598004853060122</c:v>
                </c:pt>
                <c:pt idx="1">
                  <c:v>0.23928282555944999</c:v>
                </c:pt>
                <c:pt idx="2">
                  <c:v>0.18349959557832299</c:v>
                </c:pt>
                <c:pt idx="3">
                  <c:v>9.0159072526287409E-2</c:v>
                </c:pt>
                <c:pt idx="4">
                  <c:v>8.8487462928012947E-2</c:v>
                </c:pt>
                <c:pt idx="5">
                  <c:v>0.11259099487732542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DE Top 6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'2014 Top Destinations'!$F$2:$F$3</c:f>
              <c:strCache>
                <c:ptCount val="1"/>
                <c:pt idx="0">
                  <c:v>DE Top 6 %</c:v>
                </c:pt>
              </c:strCache>
            </c:strRef>
          </c:tx>
          <c:dLbls>
            <c:dLbl>
              <c:idx val="0"/>
              <c:layout>
                <c:manualLayout>
                  <c:x val="-0.13383633789197402"/>
                  <c:y val="0.1061659494411500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'2014 Top Destinations'!$E$4:$E$10</c:f>
              <c:strCache>
                <c:ptCount val="7"/>
                <c:pt idx="0">
                  <c:v>PL</c:v>
                </c:pt>
                <c:pt idx="1">
                  <c:v>RO</c:v>
                </c:pt>
                <c:pt idx="2">
                  <c:v>IT</c:v>
                </c:pt>
                <c:pt idx="3">
                  <c:v>FR</c:v>
                </c:pt>
                <c:pt idx="4">
                  <c:v>BG</c:v>
                </c:pt>
                <c:pt idx="5">
                  <c:v>CZ</c:v>
                </c:pt>
                <c:pt idx="6">
                  <c:v>Other 14</c:v>
                </c:pt>
              </c:strCache>
            </c:strRef>
          </c:cat>
          <c:val>
            <c:numRef>
              <c:f>'2014 Top Destinations'!$F$4:$F$10</c:f>
              <c:numCache>
                <c:formatCode>0.0%</c:formatCode>
                <c:ptCount val="7"/>
                <c:pt idx="0">
                  <c:v>0.2611972280001254</c:v>
                </c:pt>
                <c:pt idx="1">
                  <c:v>0.15219868089598729</c:v>
                </c:pt>
                <c:pt idx="2">
                  <c:v>0.1262556051468052</c:v>
                </c:pt>
                <c:pt idx="3">
                  <c:v>6.6780947204482022E-2</c:v>
                </c:pt>
                <c:pt idx="4">
                  <c:v>6.5620721012637065E-2</c:v>
                </c:pt>
                <c:pt idx="5">
                  <c:v>6.3801988063258458E-2</c:v>
                </c:pt>
                <c:pt idx="6">
                  <c:v>0.26306822339057817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GB Top 5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'2014 Top Destinations'!$F$26:$F$27</c:f>
              <c:strCache>
                <c:ptCount val="1"/>
                <c:pt idx="0">
                  <c:v>GB Top 5 %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'2014 Top Destinations'!$E$28:$E$33</c:f>
              <c:strCache>
                <c:ptCount val="6"/>
                <c:pt idx="0">
                  <c:v>PL</c:v>
                </c:pt>
                <c:pt idx="1">
                  <c:v>RO</c:v>
                </c:pt>
                <c:pt idx="2">
                  <c:v>LT</c:v>
                </c:pt>
                <c:pt idx="3">
                  <c:v>LV</c:v>
                </c:pt>
                <c:pt idx="4">
                  <c:v>IE</c:v>
                </c:pt>
                <c:pt idx="5">
                  <c:v>Other 14</c:v>
                </c:pt>
              </c:strCache>
            </c:strRef>
          </c:cat>
          <c:val>
            <c:numRef>
              <c:f>'2014 Top Destinations'!$F$28:$F$33</c:f>
              <c:numCache>
                <c:formatCode>0.0%</c:formatCode>
                <c:ptCount val="6"/>
                <c:pt idx="0">
                  <c:v>0.27335666463785757</c:v>
                </c:pt>
                <c:pt idx="1">
                  <c:v>0.20529011969973626</c:v>
                </c:pt>
                <c:pt idx="2">
                  <c:v>0.1591600730371272</c:v>
                </c:pt>
                <c:pt idx="3">
                  <c:v>7.5395617772367626E-2</c:v>
                </c:pt>
                <c:pt idx="4">
                  <c:v>6.6570298234936098E-2</c:v>
                </c:pt>
                <c:pt idx="5">
                  <c:v>0.19829072834246297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AT Top 4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'2014 Top Destinations'!$F$49:$F$50</c:f>
              <c:strCache>
                <c:ptCount val="1"/>
                <c:pt idx="0">
                  <c:v>AT Top 4 %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'2014 Top Destinations'!$E$51:$E$55</c:f>
              <c:strCache>
                <c:ptCount val="5"/>
                <c:pt idx="0">
                  <c:v>DE</c:v>
                </c:pt>
                <c:pt idx="1">
                  <c:v>PL</c:v>
                </c:pt>
                <c:pt idx="2">
                  <c:v>HR</c:v>
                </c:pt>
                <c:pt idx="3">
                  <c:v>RO</c:v>
                </c:pt>
                <c:pt idx="4">
                  <c:v>Other 20</c:v>
                </c:pt>
              </c:strCache>
            </c:strRef>
          </c:cat>
          <c:val>
            <c:numRef>
              <c:f>'2014 Top Destinations'!$F$51:$F$55</c:f>
              <c:numCache>
                <c:formatCode>0.0%</c:formatCode>
                <c:ptCount val="5"/>
                <c:pt idx="0">
                  <c:v>0.44363260382560743</c:v>
                </c:pt>
                <c:pt idx="1">
                  <c:v>8.6127864897466822E-2</c:v>
                </c:pt>
                <c:pt idx="2">
                  <c:v>8.5197311735309325E-2</c:v>
                </c:pt>
                <c:pt idx="3">
                  <c:v>7.4134068585214541E-2</c:v>
                </c:pt>
                <c:pt idx="4">
                  <c:v>0.31090815095640184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 Top 4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'2014 Top Destinations'!$F$78:$F$79</c:f>
              <c:strCache>
                <c:ptCount val="1"/>
                <c:pt idx="0">
                  <c:v>DE Top 4 %</c:v>
                </c:pt>
              </c:strCache>
            </c:strRef>
          </c:tx>
          <c:dLbls>
            <c:dLbl>
              <c:idx val="0"/>
              <c:layout>
                <c:manualLayout>
                  <c:x val="-0.1390734217433347"/>
                  <c:y val="0.112785229208820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020893769857715"/>
                  <c:y val="-0.182994608156927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'2014 Top Destinations'!$E$80:$E$84</c:f>
              <c:strCache>
                <c:ptCount val="5"/>
                <c:pt idx="0">
                  <c:v>PL</c:v>
                </c:pt>
                <c:pt idx="1">
                  <c:v>RO</c:v>
                </c:pt>
                <c:pt idx="2">
                  <c:v>IT</c:v>
                </c:pt>
                <c:pt idx="3">
                  <c:v>BG</c:v>
                </c:pt>
                <c:pt idx="4">
                  <c:v>Other 17</c:v>
                </c:pt>
              </c:strCache>
            </c:strRef>
          </c:cat>
          <c:val>
            <c:numRef>
              <c:f>'2014 Top Destinations'!$F$80:$F$84</c:f>
              <c:numCache>
                <c:formatCode>0.0%</c:formatCode>
                <c:ptCount val="5"/>
                <c:pt idx="0">
                  <c:v>0.2662883130062203</c:v>
                </c:pt>
                <c:pt idx="1">
                  <c:v>0.21759720369082744</c:v>
                </c:pt>
                <c:pt idx="2">
                  <c:v>0.12528893315543194</c:v>
                </c:pt>
                <c:pt idx="3">
                  <c:v>7.9754947099393E-2</c:v>
                </c:pt>
                <c:pt idx="4">
                  <c:v>0.31107060304812734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 Top 4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'2014 Top Destinations'!$F$103:$F$104</c:f>
              <c:strCache>
                <c:ptCount val="1"/>
                <c:pt idx="0">
                  <c:v>IT Top 4 %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'2014 Top Destinations'!$E$105:$E$109</c:f>
              <c:strCache>
                <c:ptCount val="5"/>
                <c:pt idx="0">
                  <c:v>RO</c:v>
                </c:pt>
                <c:pt idx="1">
                  <c:v>DE</c:v>
                </c:pt>
                <c:pt idx="2">
                  <c:v>BG</c:v>
                </c:pt>
                <c:pt idx="3">
                  <c:v>PL</c:v>
                </c:pt>
                <c:pt idx="4">
                  <c:v>others 16</c:v>
                </c:pt>
              </c:strCache>
            </c:strRef>
          </c:cat>
          <c:val>
            <c:numRef>
              <c:f>'2014 Top Destinations'!$F$105:$F$109</c:f>
              <c:numCache>
                <c:formatCode>0.0%</c:formatCode>
                <c:ptCount val="5"/>
                <c:pt idx="0">
                  <c:v>0.82580616293291176</c:v>
                </c:pt>
                <c:pt idx="1">
                  <c:v>4.0524416072547205E-2</c:v>
                </c:pt>
                <c:pt idx="2">
                  <c:v>3.0397040837633862E-2</c:v>
                </c:pt>
                <c:pt idx="3">
                  <c:v>2.4132685022223547E-2</c:v>
                </c:pt>
                <c:pt idx="4">
                  <c:v>7.9139695134683649E-2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 Top 5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'2014 Top Destinations'!$F$127:$F$128</c:f>
              <c:strCache>
                <c:ptCount val="1"/>
                <c:pt idx="0">
                  <c:v>FR Top 5 %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'2014 Top Destinations'!$E$129:$E$134</c:f>
              <c:strCache>
                <c:ptCount val="6"/>
                <c:pt idx="0">
                  <c:v>RO</c:v>
                </c:pt>
                <c:pt idx="1">
                  <c:v>BE</c:v>
                </c:pt>
                <c:pt idx="2">
                  <c:v>IT</c:v>
                </c:pt>
                <c:pt idx="3">
                  <c:v>ES</c:v>
                </c:pt>
                <c:pt idx="4">
                  <c:v>PL</c:v>
                </c:pt>
                <c:pt idx="5">
                  <c:v>others 19</c:v>
                </c:pt>
              </c:strCache>
            </c:strRef>
          </c:cat>
          <c:val>
            <c:numRef>
              <c:f>'2014 Top Destinations'!$F$129:$F$134</c:f>
              <c:numCache>
                <c:formatCode>0.0%</c:formatCode>
                <c:ptCount val="6"/>
                <c:pt idx="0">
                  <c:v>0.41001483032364999</c:v>
                </c:pt>
                <c:pt idx="1">
                  <c:v>9.7880136090028783E-2</c:v>
                </c:pt>
                <c:pt idx="2">
                  <c:v>9.6876908313704962E-2</c:v>
                </c:pt>
                <c:pt idx="3">
                  <c:v>7.6943208584140277E-2</c:v>
                </c:pt>
                <c:pt idx="4">
                  <c:v>6.3094303410974439E-2</c:v>
                </c:pt>
                <c:pt idx="5">
                  <c:v>0.25519061327750159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DE Top 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'2015 Top Destinations'!$F$2:$F$3</c:f>
              <c:strCache>
                <c:ptCount val="1"/>
                <c:pt idx="0">
                  <c:v>DE Top 5 %</c:v>
                </c:pt>
              </c:strCache>
            </c:strRef>
          </c:tx>
          <c:dLbls>
            <c:dLbl>
              <c:idx val="0"/>
              <c:layout>
                <c:manualLayout>
                  <c:x val="-0.13383633789197402"/>
                  <c:y val="0.1061659494411500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'2015 Top Destinations'!$E$4:$E$9</c:f>
              <c:strCache>
                <c:ptCount val="6"/>
                <c:pt idx="0">
                  <c:v>PL</c:v>
                </c:pt>
                <c:pt idx="1">
                  <c:v>RO</c:v>
                </c:pt>
                <c:pt idx="2">
                  <c:v>IT</c:v>
                </c:pt>
                <c:pt idx="3">
                  <c:v>FR</c:v>
                </c:pt>
                <c:pt idx="4">
                  <c:v>BG</c:v>
                </c:pt>
                <c:pt idx="5">
                  <c:v>Other 19</c:v>
                </c:pt>
              </c:strCache>
            </c:strRef>
          </c:cat>
          <c:val>
            <c:numRef>
              <c:f>'2015 Top Destinations'!$F$4:$F$9</c:f>
              <c:numCache>
                <c:formatCode>0.0%</c:formatCode>
                <c:ptCount val="6"/>
                <c:pt idx="0">
                  <c:v>0.21540653799779089</c:v>
                </c:pt>
                <c:pt idx="1">
                  <c:v>0.17653605848278653</c:v>
                </c:pt>
                <c:pt idx="2">
                  <c:v>0.10471420501016029</c:v>
                </c:pt>
                <c:pt idx="3">
                  <c:v>5.8305719272506516E-2</c:v>
                </c:pt>
                <c:pt idx="4">
                  <c:v>6.3137125945412695E-2</c:v>
                </c:pt>
                <c:pt idx="5">
                  <c:v>0.3819003532913432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GB Top 5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'2015 Top Destinations'!$F$30:$F$31</c:f>
              <c:strCache>
                <c:ptCount val="1"/>
                <c:pt idx="0">
                  <c:v>GB Top 5 %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'2015 Top Destinations'!$E$32:$E$37</c:f>
              <c:strCache>
                <c:ptCount val="6"/>
                <c:pt idx="0">
                  <c:v>PL</c:v>
                </c:pt>
                <c:pt idx="1">
                  <c:v>RO</c:v>
                </c:pt>
                <c:pt idx="2">
                  <c:v>LT</c:v>
                </c:pt>
                <c:pt idx="3">
                  <c:v>LV</c:v>
                </c:pt>
                <c:pt idx="4">
                  <c:v>IE</c:v>
                </c:pt>
                <c:pt idx="5">
                  <c:v>Other 17</c:v>
                </c:pt>
              </c:strCache>
            </c:strRef>
          </c:cat>
          <c:val>
            <c:numRef>
              <c:f>'2015 Top Destinations'!$F$32:$F$37</c:f>
              <c:numCache>
                <c:formatCode>0.0%</c:formatCode>
                <c:ptCount val="6"/>
                <c:pt idx="0">
                  <c:v>0.27203960940723421</c:v>
                </c:pt>
                <c:pt idx="1">
                  <c:v>0.21762251868152019</c:v>
                </c:pt>
                <c:pt idx="2">
                  <c:v>0.123618942832256</c:v>
                </c:pt>
                <c:pt idx="3">
                  <c:v>6.739100536377389E-2</c:v>
                </c:pt>
                <c:pt idx="4">
                  <c:v>5.8451382203273276E-2</c:v>
                </c:pt>
                <c:pt idx="5">
                  <c:v>0.26087654151194251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AT Top 5</a:t>
            </a:r>
          </a:p>
        </c:rich>
      </c:tx>
      <c:layout>
        <c:manualLayout>
          <c:xMode val="edge"/>
          <c:yMode val="edge"/>
          <c:x val="0.3721290185547616"/>
          <c:y val="3.12500128157860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'2015 Top Destinations'!$F$56:$F$57</c:f>
              <c:strCache>
                <c:ptCount val="1"/>
                <c:pt idx="0">
                  <c:v>AT Top 5 %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'2015 Top Destinations'!$E$58:$E$63</c:f>
              <c:strCache>
                <c:ptCount val="6"/>
                <c:pt idx="0">
                  <c:v>DE</c:v>
                </c:pt>
                <c:pt idx="1">
                  <c:v>RO</c:v>
                </c:pt>
                <c:pt idx="2">
                  <c:v>HU</c:v>
                </c:pt>
                <c:pt idx="3">
                  <c:v>PL</c:v>
                </c:pt>
                <c:pt idx="4">
                  <c:v>IT</c:v>
                </c:pt>
                <c:pt idx="5">
                  <c:v>Other 19</c:v>
                </c:pt>
              </c:strCache>
            </c:strRef>
          </c:cat>
          <c:val>
            <c:numRef>
              <c:f>'2015 Top Destinations'!$F$58:$F$63</c:f>
              <c:numCache>
                <c:formatCode>0.0%</c:formatCode>
                <c:ptCount val="6"/>
                <c:pt idx="0">
                  <c:v>0.40296540362438221</c:v>
                </c:pt>
                <c:pt idx="1">
                  <c:v>0.1092668863261944</c:v>
                </c:pt>
                <c:pt idx="2">
                  <c:v>7.6853377265238873E-2</c:v>
                </c:pt>
                <c:pt idx="3">
                  <c:v>6.1037891268533775E-2</c:v>
                </c:pt>
                <c:pt idx="4">
                  <c:v>5.3912685337726522E-2</c:v>
                </c:pt>
                <c:pt idx="5">
                  <c:v>0.29596375617792425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Partners per MS </a:t>
            </a:r>
          </a:p>
          <a:p>
            <a:pPr algn="ctr"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00">
                <a:latin typeface="Arial" pitchFamily="34" charset="0"/>
                <a:cs typeface="Arial" pitchFamily="34" charset="0"/>
              </a:rPr>
              <a:t>(out of the 19 available)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323106238963923"/>
          <c:y val="3.8062251878265008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147474865277091E-2"/>
          <c:y val="0.12071924038334837"/>
          <c:w val="0.96395305422900657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'2012'!$A$186:$A$205</c:f>
              <c:strCache>
                <c:ptCount val="20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CZ</c:v>
                </c:pt>
                <c:pt idx="4">
                  <c:v>DE</c:v>
                </c:pt>
                <c:pt idx="5">
                  <c:v>DK</c:v>
                </c:pt>
                <c:pt idx="6">
                  <c:v>EE</c:v>
                </c:pt>
                <c:pt idx="7">
                  <c:v>ES</c:v>
                </c:pt>
                <c:pt idx="8">
                  <c:v>FI</c:v>
                </c:pt>
                <c:pt idx="9">
                  <c:v>FR</c:v>
                </c:pt>
                <c:pt idx="10">
                  <c:v>GB</c:v>
                </c:pt>
                <c:pt idx="11">
                  <c:v>GR</c:v>
                </c:pt>
                <c:pt idx="12">
                  <c:v>HU</c:v>
                </c:pt>
                <c:pt idx="13">
                  <c:v>IE</c:v>
                </c:pt>
                <c:pt idx="14">
                  <c:v>LT</c:v>
                </c:pt>
                <c:pt idx="15">
                  <c:v>LV</c:v>
                </c:pt>
                <c:pt idx="16">
                  <c:v>NL</c:v>
                </c:pt>
                <c:pt idx="17">
                  <c:v>PL</c:v>
                </c:pt>
                <c:pt idx="18">
                  <c:v>RO</c:v>
                </c:pt>
                <c:pt idx="19">
                  <c:v>SK</c:v>
                </c:pt>
              </c:strCache>
            </c:strRef>
          </c:cat>
          <c:val>
            <c:numRef>
              <c:f>'2012'!$B$186:$B$205</c:f>
              <c:numCache>
                <c:formatCode>General</c:formatCode>
                <c:ptCount val="20"/>
                <c:pt idx="0">
                  <c:v>18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14</c:v>
                </c:pt>
                <c:pt idx="8">
                  <c:v>9</c:v>
                </c:pt>
                <c:pt idx="9">
                  <c:v>11</c:v>
                </c:pt>
                <c:pt idx="10">
                  <c:v>13</c:v>
                </c:pt>
                <c:pt idx="11">
                  <c:v>7</c:v>
                </c:pt>
                <c:pt idx="12">
                  <c:v>1</c:v>
                </c:pt>
                <c:pt idx="13">
                  <c:v>8</c:v>
                </c:pt>
                <c:pt idx="14">
                  <c:v>11</c:v>
                </c:pt>
                <c:pt idx="15">
                  <c:v>6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729216"/>
        <c:axId val="100730752"/>
        <c:axId val="0"/>
      </c:bar3DChart>
      <c:catAx>
        <c:axId val="10072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073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730752"/>
        <c:scaling>
          <c:orientation val="minMax"/>
          <c:max val="1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0072921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 Top 5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'2015 Top Destinations'!$F$85:$F$86</c:f>
              <c:strCache>
                <c:ptCount val="1"/>
                <c:pt idx="0">
                  <c:v>DE Top 5 %</c:v>
                </c:pt>
              </c:strCache>
            </c:strRef>
          </c:tx>
          <c:dLbls>
            <c:dLbl>
              <c:idx val="0"/>
              <c:layout>
                <c:manualLayout>
                  <c:x val="-0.1390734217433347"/>
                  <c:y val="0.112785229208820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020893769857715"/>
                  <c:y val="-0.182994608156927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'2015 Top Destinations'!$E$87:$E$92</c:f>
              <c:strCache>
                <c:ptCount val="6"/>
                <c:pt idx="0">
                  <c:v>PL</c:v>
                </c:pt>
                <c:pt idx="1">
                  <c:v>RO</c:v>
                </c:pt>
                <c:pt idx="2">
                  <c:v>IT</c:v>
                </c:pt>
                <c:pt idx="3">
                  <c:v>BG</c:v>
                </c:pt>
                <c:pt idx="4">
                  <c:v>HU</c:v>
                </c:pt>
                <c:pt idx="5">
                  <c:v>Other 19</c:v>
                </c:pt>
              </c:strCache>
            </c:strRef>
          </c:cat>
          <c:val>
            <c:numRef>
              <c:f>'2015 Top Destinations'!$F$87:$F$92</c:f>
              <c:numCache>
                <c:formatCode>0.0%</c:formatCode>
                <c:ptCount val="6"/>
                <c:pt idx="0">
                  <c:v>0.26096141009066559</c:v>
                </c:pt>
                <c:pt idx="1">
                  <c:v>0.22838770733520916</c:v>
                </c:pt>
                <c:pt idx="2">
                  <c:v>0.11841449297405088</c:v>
                </c:pt>
                <c:pt idx="3">
                  <c:v>6.9921502023709933E-2</c:v>
                </c:pt>
                <c:pt idx="4">
                  <c:v>4.2400736816311353E-2</c:v>
                </c:pt>
                <c:pt idx="5">
                  <c:v>0.2799141507600531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 Top 5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'2015 Top Destinations'!$F$113:$F$114</c:f>
              <c:strCache>
                <c:ptCount val="1"/>
                <c:pt idx="0">
                  <c:v>IT Top 5 %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'2015 Top Destinations'!$E$115:$E$120</c:f>
              <c:strCache>
                <c:ptCount val="6"/>
                <c:pt idx="0">
                  <c:v>RO</c:v>
                </c:pt>
                <c:pt idx="1">
                  <c:v>HR</c:v>
                </c:pt>
                <c:pt idx="2">
                  <c:v>PL</c:v>
                </c:pt>
                <c:pt idx="3">
                  <c:v>BG</c:v>
                </c:pt>
                <c:pt idx="4">
                  <c:v>DE</c:v>
                </c:pt>
                <c:pt idx="5">
                  <c:v>Other 18</c:v>
                </c:pt>
              </c:strCache>
            </c:strRef>
          </c:cat>
          <c:val>
            <c:numRef>
              <c:f>'2015 Top Destinations'!$F$115:$F$120</c:f>
              <c:numCache>
                <c:formatCode>0.0%</c:formatCode>
                <c:ptCount val="6"/>
                <c:pt idx="0">
                  <c:v>0.7984056552197627</c:v>
                </c:pt>
                <c:pt idx="1">
                  <c:v>6.8477998296314194E-2</c:v>
                </c:pt>
                <c:pt idx="2">
                  <c:v>2.7309829249996823E-2</c:v>
                </c:pt>
                <c:pt idx="3">
                  <c:v>2.2758191041664017E-2</c:v>
                </c:pt>
                <c:pt idx="4">
                  <c:v>2.2796333261286918E-2</c:v>
                </c:pt>
                <c:pt idx="5">
                  <c:v>6.0251992930975384E-2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 Top 5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'2015 Top Destinations'!$F$140:$F$141</c:f>
              <c:strCache>
                <c:ptCount val="1"/>
                <c:pt idx="0">
                  <c:v>BE Top 5 %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'2015 Top Destinations'!$E$142:$E$147</c:f>
              <c:strCache>
                <c:ptCount val="6"/>
                <c:pt idx="0">
                  <c:v>NL</c:v>
                </c:pt>
                <c:pt idx="1">
                  <c:v>FR</c:v>
                </c:pt>
                <c:pt idx="2">
                  <c:v>IT</c:v>
                </c:pt>
                <c:pt idx="3">
                  <c:v>RO</c:v>
                </c:pt>
                <c:pt idx="4">
                  <c:v>PL</c:v>
                </c:pt>
                <c:pt idx="5">
                  <c:v>Other 19</c:v>
                </c:pt>
              </c:strCache>
            </c:strRef>
          </c:cat>
          <c:val>
            <c:numRef>
              <c:f>'2015 Top Destinations'!$F$142:$F$147</c:f>
              <c:numCache>
                <c:formatCode>0.0%</c:formatCode>
                <c:ptCount val="6"/>
                <c:pt idx="0">
                  <c:v>0.23117234183818647</c:v>
                </c:pt>
                <c:pt idx="1">
                  <c:v>0.20034620127098549</c:v>
                </c:pt>
                <c:pt idx="2">
                  <c:v>0.15436782699421417</c:v>
                </c:pt>
                <c:pt idx="3">
                  <c:v>0.1456416579721142</c:v>
                </c:pt>
                <c:pt idx="4">
                  <c:v>8.5364696955325808E-2</c:v>
                </c:pt>
                <c:pt idx="5">
                  <c:v>0.18310727496917389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chart" Target="../charts/chart17.xml"/><Relationship Id="rId18" Type="http://schemas.openxmlformats.org/officeDocument/2006/relationships/chart" Target="../charts/chart2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17" Type="http://schemas.openxmlformats.org/officeDocument/2006/relationships/chart" Target="../charts/chart21.xml"/><Relationship Id="rId2" Type="http://schemas.openxmlformats.org/officeDocument/2006/relationships/chart" Target="../charts/chart6.xml"/><Relationship Id="rId16" Type="http://schemas.openxmlformats.org/officeDocument/2006/relationships/chart" Target="../charts/chart20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5" Type="http://schemas.openxmlformats.org/officeDocument/2006/relationships/chart" Target="../charts/chart1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14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10" Type="http://schemas.openxmlformats.org/officeDocument/2006/relationships/chart" Target="../charts/chart32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13" Type="http://schemas.openxmlformats.org/officeDocument/2006/relationships/chart" Target="../charts/chart52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12" Type="http://schemas.openxmlformats.org/officeDocument/2006/relationships/chart" Target="../charts/chart51.xml"/><Relationship Id="rId17" Type="http://schemas.openxmlformats.org/officeDocument/2006/relationships/chart" Target="../charts/chart56.xml"/><Relationship Id="rId2" Type="http://schemas.openxmlformats.org/officeDocument/2006/relationships/chart" Target="../charts/chart41.xml"/><Relationship Id="rId16" Type="http://schemas.openxmlformats.org/officeDocument/2006/relationships/chart" Target="../charts/chart55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11" Type="http://schemas.openxmlformats.org/officeDocument/2006/relationships/chart" Target="../charts/chart50.xml"/><Relationship Id="rId5" Type="http://schemas.openxmlformats.org/officeDocument/2006/relationships/chart" Target="../charts/chart44.xml"/><Relationship Id="rId15" Type="http://schemas.openxmlformats.org/officeDocument/2006/relationships/chart" Target="../charts/chart54.xml"/><Relationship Id="rId10" Type="http://schemas.openxmlformats.org/officeDocument/2006/relationships/chart" Target="../charts/chart49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Relationship Id="rId14" Type="http://schemas.openxmlformats.org/officeDocument/2006/relationships/chart" Target="../charts/chart5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13" Type="http://schemas.openxmlformats.org/officeDocument/2006/relationships/chart" Target="../charts/chart69.xml"/><Relationship Id="rId18" Type="http://schemas.openxmlformats.org/officeDocument/2006/relationships/chart" Target="../charts/chart7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12" Type="http://schemas.openxmlformats.org/officeDocument/2006/relationships/chart" Target="../charts/chart68.xml"/><Relationship Id="rId17" Type="http://schemas.openxmlformats.org/officeDocument/2006/relationships/chart" Target="../charts/chart73.xml"/><Relationship Id="rId2" Type="http://schemas.openxmlformats.org/officeDocument/2006/relationships/chart" Target="../charts/chart58.xml"/><Relationship Id="rId16" Type="http://schemas.openxmlformats.org/officeDocument/2006/relationships/chart" Target="../charts/chart72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11" Type="http://schemas.openxmlformats.org/officeDocument/2006/relationships/chart" Target="../charts/chart67.xml"/><Relationship Id="rId5" Type="http://schemas.openxmlformats.org/officeDocument/2006/relationships/chart" Target="../charts/chart61.xml"/><Relationship Id="rId15" Type="http://schemas.openxmlformats.org/officeDocument/2006/relationships/chart" Target="../charts/chart7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Relationship Id="rId14" Type="http://schemas.openxmlformats.org/officeDocument/2006/relationships/chart" Target="../charts/chart7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6" Type="http://schemas.openxmlformats.org/officeDocument/2006/relationships/chart" Target="../charts/chart80.xml"/><Relationship Id="rId5" Type="http://schemas.openxmlformats.org/officeDocument/2006/relationships/chart" Target="../charts/chart79.xml"/><Relationship Id="rId4" Type="http://schemas.openxmlformats.org/officeDocument/2006/relationships/chart" Target="../charts/chart7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4" Type="http://schemas.openxmlformats.org/officeDocument/2006/relationships/chart" Target="../charts/chart8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9.xml"/><Relationship Id="rId2" Type="http://schemas.openxmlformats.org/officeDocument/2006/relationships/chart" Target="../charts/chart88.xml"/><Relationship Id="rId1" Type="http://schemas.openxmlformats.org/officeDocument/2006/relationships/chart" Target="../charts/chart87.xml"/><Relationship Id="rId6" Type="http://schemas.openxmlformats.org/officeDocument/2006/relationships/chart" Target="../charts/chart92.xml"/><Relationship Id="rId5" Type="http://schemas.openxmlformats.org/officeDocument/2006/relationships/chart" Target="../charts/chart91.xml"/><Relationship Id="rId4" Type="http://schemas.openxmlformats.org/officeDocument/2006/relationships/chart" Target="../charts/chart90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119062</xdr:rowOff>
    </xdr:from>
    <xdr:to>
      <xdr:col>12</xdr:col>
      <xdr:colOff>28575</xdr:colOff>
      <xdr:row>17</xdr:row>
      <xdr:rowOff>80962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18</xdr:row>
      <xdr:rowOff>128587</xdr:rowOff>
    </xdr:from>
    <xdr:to>
      <xdr:col>12</xdr:col>
      <xdr:colOff>57150</xdr:colOff>
      <xdr:row>35</xdr:row>
      <xdr:rowOff>119062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114300</xdr:colOff>
      <xdr:row>18</xdr:row>
      <xdr:rowOff>128587</xdr:rowOff>
    </xdr:from>
    <xdr:to>
      <xdr:col>19</xdr:col>
      <xdr:colOff>419100</xdr:colOff>
      <xdr:row>35</xdr:row>
      <xdr:rowOff>119062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549087</xdr:colOff>
      <xdr:row>38</xdr:row>
      <xdr:rowOff>56029</xdr:rowOff>
    </xdr:from>
    <xdr:to>
      <xdr:col>18</xdr:col>
      <xdr:colOff>414617</xdr:colOff>
      <xdr:row>61</xdr:row>
      <xdr:rowOff>56030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52</xdr:row>
      <xdr:rowOff>0</xdr:rowOff>
    </xdr:from>
    <xdr:to>
      <xdr:col>13</xdr:col>
      <xdr:colOff>295275</xdr:colOff>
      <xdr:row>70</xdr:row>
      <xdr:rowOff>0</xdr:rowOff>
    </xdr:to>
    <xdr:graphicFrame macro="">
      <xdr:nvGraphicFramePr>
        <xdr:cNvPr id="16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13</xdr:col>
      <xdr:colOff>276225</xdr:colOff>
      <xdr:row>31</xdr:row>
      <xdr:rowOff>0</xdr:rowOff>
    </xdr:to>
    <xdr:graphicFrame macro="">
      <xdr:nvGraphicFramePr>
        <xdr:cNvPr id="163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605117</xdr:colOff>
      <xdr:row>72</xdr:row>
      <xdr:rowOff>1</xdr:rowOff>
    </xdr:from>
    <xdr:to>
      <xdr:col>19</xdr:col>
      <xdr:colOff>0</xdr:colOff>
      <xdr:row>93</xdr:row>
      <xdr:rowOff>0</xdr:rowOff>
    </xdr:to>
    <xdr:graphicFrame macro="">
      <xdr:nvGraphicFramePr>
        <xdr:cNvPr id="163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213</xdr:row>
      <xdr:rowOff>0</xdr:rowOff>
    </xdr:from>
    <xdr:to>
      <xdr:col>19</xdr:col>
      <xdr:colOff>0</xdr:colOff>
      <xdr:row>240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183</xdr:row>
      <xdr:rowOff>0</xdr:rowOff>
    </xdr:from>
    <xdr:to>
      <xdr:col>19</xdr:col>
      <xdr:colOff>0</xdr:colOff>
      <xdr:row>211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121</xdr:row>
      <xdr:rowOff>0</xdr:rowOff>
    </xdr:from>
    <xdr:to>
      <xdr:col>18</xdr:col>
      <xdr:colOff>0</xdr:colOff>
      <xdr:row>142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94</xdr:row>
      <xdr:rowOff>0</xdr:rowOff>
    </xdr:from>
    <xdr:to>
      <xdr:col>22</xdr:col>
      <xdr:colOff>0</xdr:colOff>
      <xdr:row>118</xdr:row>
      <xdr:rowOff>145677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242</xdr:row>
      <xdr:rowOff>0</xdr:rowOff>
    </xdr:from>
    <xdr:to>
      <xdr:col>19</xdr:col>
      <xdr:colOff>0</xdr:colOff>
      <xdr:row>269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271</xdr:row>
      <xdr:rowOff>0</xdr:rowOff>
    </xdr:from>
    <xdr:to>
      <xdr:col>19</xdr:col>
      <xdr:colOff>0</xdr:colOff>
      <xdr:row>298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13</xdr:col>
      <xdr:colOff>276225</xdr:colOff>
      <xdr:row>49</xdr:row>
      <xdr:rowOff>156882</xdr:rowOff>
    </xdr:to>
    <xdr:graphicFrame macro="">
      <xdr:nvGraphicFramePr>
        <xdr:cNvPr id="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</xdr:colOff>
      <xdr:row>144</xdr:row>
      <xdr:rowOff>0</xdr:rowOff>
    </xdr:from>
    <xdr:to>
      <xdr:col>12</xdr:col>
      <xdr:colOff>280148</xdr:colOff>
      <xdr:row>154</xdr:row>
      <xdr:rowOff>0</xdr:rowOff>
    </xdr:to>
    <xdr:graphicFrame macro="">
      <xdr:nvGraphicFramePr>
        <xdr:cNvPr id="1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3923</xdr:colOff>
      <xdr:row>143</xdr:row>
      <xdr:rowOff>156882</xdr:rowOff>
    </xdr:from>
    <xdr:to>
      <xdr:col>18</xdr:col>
      <xdr:colOff>515470</xdr:colOff>
      <xdr:row>153</xdr:row>
      <xdr:rowOff>156881</xdr:rowOff>
    </xdr:to>
    <xdr:graphicFrame macro="">
      <xdr:nvGraphicFramePr>
        <xdr:cNvPr id="1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170</xdr:row>
      <xdr:rowOff>156881</xdr:rowOff>
    </xdr:from>
    <xdr:to>
      <xdr:col>12</xdr:col>
      <xdr:colOff>268942</xdr:colOff>
      <xdr:row>180</xdr:row>
      <xdr:rowOff>156881</xdr:rowOff>
    </xdr:to>
    <xdr:graphicFrame macro="">
      <xdr:nvGraphicFramePr>
        <xdr:cNvPr id="1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0</xdr:colOff>
      <xdr:row>171</xdr:row>
      <xdr:rowOff>0</xdr:rowOff>
    </xdr:from>
    <xdr:to>
      <xdr:col>18</xdr:col>
      <xdr:colOff>515470</xdr:colOff>
      <xdr:row>181</xdr:row>
      <xdr:rowOff>0</xdr:rowOff>
    </xdr:to>
    <xdr:graphicFrame macro="">
      <xdr:nvGraphicFramePr>
        <xdr:cNvPr id="2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156</xdr:row>
      <xdr:rowOff>0</xdr:rowOff>
    </xdr:from>
    <xdr:to>
      <xdr:col>12</xdr:col>
      <xdr:colOff>280147</xdr:colOff>
      <xdr:row>167</xdr:row>
      <xdr:rowOff>78441</xdr:rowOff>
    </xdr:to>
    <xdr:graphicFrame macro="">
      <xdr:nvGraphicFramePr>
        <xdr:cNvPr id="2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300</xdr:row>
      <xdr:rowOff>0</xdr:rowOff>
    </xdr:from>
    <xdr:to>
      <xdr:col>20</xdr:col>
      <xdr:colOff>0</xdr:colOff>
      <xdr:row>328</xdr:row>
      <xdr:rowOff>1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371475</xdr:colOff>
      <xdr:row>362</xdr:row>
      <xdr:rowOff>85725</xdr:rowOff>
    </xdr:from>
    <xdr:to>
      <xdr:col>20</xdr:col>
      <xdr:colOff>371475</xdr:colOff>
      <xdr:row>385</xdr:row>
      <xdr:rowOff>84606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67234</xdr:colOff>
      <xdr:row>155</xdr:row>
      <xdr:rowOff>134472</xdr:rowOff>
    </xdr:from>
    <xdr:to>
      <xdr:col>18</xdr:col>
      <xdr:colOff>347381</xdr:colOff>
      <xdr:row>167</xdr:row>
      <xdr:rowOff>89648</xdr:rowOff>
    </xdr:to>
    <xdr:graphicFrame macro="">
      <xdr:nvGraphicFramePr>
        <xdr:cNvPr id="2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63</xdr:row>
      <xdr:rowOff>0</xdr:rowOff>
    </xdr:from>
    <xdr:to>
      <xdr:col>15</xdr:col>
      <xdr:colOff>0</xdr:colOff>
      <xdr:row>85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118782</xdr:rowOff>
    </xdr:from>
    <xdr:to>
      <xdr:col>15</xdr:col>
      <xdr:colOff>28575</xdr:colOff>
      <xdr:row>37</xdr:row>
      <xdr:rowOff>118781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87</xdr:row>
      <xdr:rowOff>0</xdr:rowOff>
    </xdr:from>
    <xdr:to>
      <xdr:col>22</xdr:col>
      <xdr:colOff>0</xdr:colOff>
      <xdr:row>112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240</xdr:row>
      <xdr:rowOff>0</xdr:rowOff>
    </xdr:from>
    <xdr:to>
      <xdr:col>20</xdr:col>
      <xdr:colOff>0</xdr:colOff>
      <xdr:row>273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203</xdr:row>
      <xdr:rowOff>156881</xdr:rowOff>
    </xdr:from>
    <xdr:to>
      <xdr:col>20</xdr:col>
      <xdr:colOff>0</xdr:colOff>
      <xdr:row>237</xdr:row>
      <xdr:rowOff>156882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140</xdr:row>
      <xdr:rowOff>0</xdr:rowOff>
    </xdr:from>
    <xdr:to>
      <xdr:col>18</xdr:col>
      <xdr:colOff>0</xdr:colOff>
      <xdr:row>161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113</xdr:row>
      <xdr:rowOff>0</xdr:rowOff>
    </xdr:from>
    <xdr:to>
      <xdr:col>22</xdr:col>
      <xdr:colOff>0</xdr:colOff>
      <xdr:row>137</xdr:row>
      <xdr:rowOff>145677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275</xdr:row>
      <xdr:rowOff>0</xdr:rowOff>
    </xdr:from>
    <xdr:to>
      <xdr:col>20</xdr:col>
      <xdr:colOff>0</xdr:colOff>
      <xdr:row>308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309</xdr:row>
      <xdr:rowOff>156881</xdr:rowOff>
    </xdr:from>
    <xdr:to>
      <xdr:col>20</xdr:col>
      <xdr:colOff>0</xdr:colOff>
      <xdr:row>342</xdr:row>
      <xdr:rowOff>156882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15</xdr:col>
      <xdr:colOff>0</xdr:colOff>
      <xdr:row>61</xdr:row>
      <xdr:rowOff>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</xdr:colOff>
      <xdr:row>163</xdr:row>
      <xdr:rowOff>0</xdr:rowOff>
    </xdr:from>
    <xdr:to>
      <xdr:col>12</xdr:col>
      <xdr:colOff>280148</xdr:colOff>
      <xdr:row>173</xdr:row>
      <xdr:rowOff>0</xdr:rowOff>
    </xdr:to>
    <xdr:graphicFrame macro="">
      <xdr:nvGraphicFramePr>
        <xdr:cNvPr id="1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3923</xdr:colOff>
      <xdr:row>162</xdr:row>
      <xdr:rowOff>156882</xdr:rowOff>
    </xdr:from>
    <xdr:to>
      <xdr:col>18</xdr:col>
      <xdr:colOff>515470</xdr:colOff>
      <xdr:row>172</xdr:row>
      <xdr:rowOff>156881</xdr:rowOff>
    </xdr:to>
    <xdr:graphicFrame macro="">
      <xdr:nvGraphicFramePr>
        <xdr:cNvPr id="1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187</xdr:row>
      <xdr:rowOff>156881</xdr:rowOff>
    </xdr:from>
    <xdr:to>
      <xdr:col>13</xdr:col>
      <xdr:colOff>414617</xdr:colOff>
      <xdr:row>197</xdr:row>
      <xdr:rowOff>156881</xdr:rowOff>
    </xdr:to>
    <xdr:graphicFrame macro="">
      <xdr:nvGraphicFramePr>
        <xdr:cNvPr id="1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123265</xdr:colOff>
      <xdr:row>188</xdr:row>
      <xdr:rowOff>11206</xdr:rowOff>
    </xdr:from>
    <xdr:to>
      <xdr:col>20</xdr:col>
      <xdr:colOff>302559</xdr:colOff>
      <xdr:row>202</xdr:row>
      <xdr:rowOff>56030</xdr:rowOff>
    </xdr:to>
    <xdr:graphicFrame macro="">
      <xdr:nvGraphicFramePr>
        <xdr:cNvPr id="1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33617</xdr:colOff>
      <xdr:row>174</xdr:row>
      <xdr:rowOff>134472</xdr:rowOff>
    </xdr:from>
    <xdr:to>
      <xdr:col>13</xdr:col>
      <xdr:colOff>313764</xdr:colOff>
      <xdr:row>185</xdr:row>
      <xdr:rowOff>134471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347</xdr:row>
      <xdr:rowOff>0</xdr:rowOff>
    </xdr:from>
    <xdr:to>
      <xdr:col>20</xdr:col>
      <xdr:colOff>0</xdr:colOff>
      <xdr:row>380</xdr:row>
      <xdr:rowOff>1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104775</xdr:colOff>
      <xdr:row>421</xdr:row>
      <xdr:rowOff>76200</xdr:rowOff>
    </xdr:from>
    <xdr:to>
      <xdr:col>20</xdr:col>
      <xdr:colOff>104775</xdr:colOff>
      <xdr:row>444</xdr:row>
      <xdr:rowOff>87407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63</xdr:row>
      <xdr:rowOff>0</xdr:rowOff>
    </xdr:from>
    <xdr:to>
      <xdr:col>15</xdr:col>
      <xdr:colOff>0</xdr:colOff>
      <xdr:row>85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118782</xdr:rowOff>
    </xdr:from>
    <xdr:to>
      <xdr:col>15</xdr:col>
      <xdr:colOff>28575</xdr:colOff>
      <xdr:row>37</xdr:row>
      <xdr:rowOff>118781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87</xdr:row>
      <xdr:rowOff>0</xdr:rowOff>
    </xdr:from>
    <xdr:to>
      <xdr:col>22</xdr:col>
      <xdr:colOff>0</xdr:colOff>
      <xdr:row>112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22412</xdr:colOff>
      <xdr:row>246</xdr:row>
      <xdr:rowOff>100853</xdr:rowOff>
    </xdr:from>
    <xdr:to>
      <xdr:col>20</xdr:col>
      <xdr:colOff>22412</xdr:colOff>
      <xdr:row>280</xdr:row>
      <xdr:rowOff>100853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209</xdr:row>
      <xdr:rowOff>156881</xdr:rowOff>
    </xdr:from>
    <xdr:to>
      <xdr:col>20</xdr:col>
      <xdr:colOff>0</xdr:colOff>
      <xdr:row>244</xdr:row>
      <xdr:rowOff>156882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140</xdr:row>
      <xdr:rowOff>0</xdr:rowOff>
    </xdr:from>
    <xdr:to>
      <xdr:col>18</xdr:col>
      <xdr:colOff>0</xdr:colOff>
      <xdr:row>161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113</xdr:row>
      <xdr:rowOff>0</xdr:rowOff>
    </xdr:from>
    <xdr:to>
      <xdr:col>22</xdr:col>
      <xdr:colOff>0</xdr:colOff>
      <xdr:row>137</xdr:row>
      <xdr:rowOff>145677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283</xdr:row>
      <xdr:rowOff>0</xdr:rowOff>
    </xdr:from>
    <xdr:to>
      <xdr:col>20</xdr:col>
      <xdr:colOff>0</xdr:colOff>
      <xdr:row>317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318</xdr:row>
      <xdr:rowOff>156881</xdr:rowOff>
    </xdr:from>
    <xdr:to>
      <xdr:col>20</xdr:col>
      <xdr:colOff>0</xdr:colOff>
      <xdr:row>352</xdr:row>
      <xdr:rowOff>156882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15</xdr:col>
      <xdr:colOff>0</xdr:colOff>
      <xdr:row>61</xdr:row>
      <xdr:rowOff>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</xdr:colOff>
      <xdr:row>163</xdr:row>
      <xdr:rowOff>0</xdr:rowOff>
    </xdr:from>
    <xdr:to>
      <xdr:col>12</xdr:col>
      <xdr:colOff>280148</xdr:colOff>
      <xdr:row>173</xdr:row>
      <xdr:rowOff>0</xdr:rowOff>
    </xdr:to>
    <xdr:graphicFrame macro="">
      <xdr:nvGraphicFramePr>
        <xdr:cNvPr id="1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3923</xdr:colOff>
      <xdr:row>162</xdr:row>
      <xdr:rowOff>156882</xdr:rowOff>
    </xdr:from>
    <xdr:to>
      <xdr:col>18</xdr:col>
      <xdr:colOff>515470</xdr:colOff>
      <xdr:row>172</xdr:row>
      <xdr:rowOff>156881</xdr:rowOff>
    </xdr:to>
    <xdr:graphicFrame macro="">
      <xdr:nvGraphicFramePr>
        <xdr:cNvPr id="1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470648</xdr:colOff>
      <xdr:row>193</xdr:row>
      <xdr:rowOff>156881</xdr:rowOff>
    </xdr:from>
    <xdr:to>
      <xdr:col>13</xdr:col>
      <xdr:colOff>414618</xdr:colOff>
      <xdr:row>207</xdr:row>
      <xdr:rowOff>123264</xdr:rowOff>
    </xdr:to>
    <xdr:graphicFrame macro="">
      <xdr:nvGraphicFramePr>
        <xdr:cNvPr id="1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123265</xdr:colOff>
      <xdr:row>194</xdr:row>
      <xdr:rowOff>11206</xdr:rowOff>
    </xdr:from>
    <xdr:to>
      <xdr:col>20</xdr:col>
      <xdr:colOff>302559</xdr:colOff>
      <xdr:row>208</xdr:row>
      <xdr:rowOff>56030</xdr:rowOff>
    </xdr:to>
    <xdr:graphicFrame macro="">
      <xdr:nvGraphicFramePr>
        <xdr:cNvPr id="1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175</xdr:row>
      <xdr:rowOff>0</xdr:rowOff>
    </xdr:from>
    <xdr:to>
      <xdr:col>12</xdr:col>
      <xdr:colOff>280147</xdr:colOff>
      <xdr:row>185</xdr:row>
      <xdr:rowOff>112058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357</xdr:row>
      <xdr:rowOff>0</xdr:rowOff>
    </xdr:from>
    <xdr:to>
      <xdr:col>20</xdr:col>
      <xdr:colOff>0</xdr:colOff>
      <xdr:row>391</xdr:row>
      <xdr:rowOff>1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67235</xdr:colOff>
      <xdr:row>175</xdr:row>
      <xdr:rowOff>22412</xdr:rowOff>
    </xdr:from>
    <xdr:to>
      <xdr:col>18</xdr:col>
      <xdr:colOff>347382</xdr:colOff>
      <xdr:row>185</xdr:row>
      <xdr:rowOff>134470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63</xdr:row>
      <xdr:rowOff>0</xdr:rowOff>
    </xdr:from>
    <xdr:to>
      <xdr:col>15</xdr:col>
      <xdr:colOff>0</xdr:colOff>
      <xdr:row>85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118782</xdr:rowOff>
    </xdr:from>
    <xdr:to>
      <xdr:col>15</xdr:col>
      <xdr:colOff>28575</xdr:colOff>
      <xdr:row>37</xdr:row>
      <xdr:rowOff>118781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87</xdr:row>
      <xdr:rowOff>0</xdr:rowOff>
    </xdr:from>
    <xdr:to>
      <xdr:col>20</xdr:col>
      <xdr:colOff>0</xdr:colOff>
      <xdr:row>112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22412</xdr:colOff>
      <xdr:row>246</xdr:row>
      <xdr:rowOff>145676</xdr:rowOff>
    </xdr:from>
    <xdr:to>
      <xdr:col>18</xdr:col>
      <xdr:colOff>22412</xdr:colOff>
      <xdr:row>281</xdr:row>
      <xdr:rowOff>145676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209</xdr:row>
      <xdr:rowOff>156881</xdr:rowOff>
    </xdr:from>
    <xdr:to>
      <xdr:col>18</xdr:col>
      <xdr:colOff>0</xdr:colOff>
      <xdr:row>245</xdr:row>
      <xdr:rowOff>156882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140</xdr:row>
      <xdr:rowOff>0</xdr:rowOff>
    </xdr:from>
    <xdr:to>
      <xdr:col>16</xdr:col>
      <xdr:colOff>0</xdr:colOff>
      <xdr:row>161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113</xdr:row>
      <xdr:rowOff>0</xdr:rowOff>
    </xdr:from>
    <xdr:to>
      <xdr:col>20</xdr:col>
      <xdr:colOff>0</xdr:colOff>
      <xdr:row>137</xdr:row>
      <xdr:rowOff>145677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283</xdr:row>
      <xdr:rowOff>44824</xdr:rowOff>
    </xdr:from>
    <xdr:to>
      <xdr:col>18</xdr:col>
      <xdr:colOff>0</xdr:colOff>
      <xdr:row>318</xdr:row>
      <xdr:rowOff>112059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571501</xdr:colOff>
      <xdr:row>320</xdr:row>
      <xdr:rowOff>33616</xdr:rowOff>
    </xdr:from>
    <xdr:to>
      <xdr:col>17</xdr:col>
      <xdr:colOff>571500</xdr:colOff>
      <xdr:row>354</xdr:row>
      <xdr:rowOff>156882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15</xdr:col>
      <xdr:colOff>0</xdr:colOff>
      <xdr:row>61</xdr:row>
      <xdr:rowOff>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</xdr:colOff>
      <xdr:row>163</xdr:row>
      <xdr:rowOff>0</xdr:rowOff>
    </xdr:from>
    <xdr:to>
      <xdr:col>12</xdr:col>
      <xdr:colOff>280148</xdr:colOff>
      <xdr:row>173</xdr:row>
      <xdr:rowOff>0</xdr:rowOff>
    </xdr:to>
    <xdr:graphicFrame macro="">
      <xdr:nvGraphicFramePr>
        <xdr:cNvPr id="1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3923</xdr:colOff>
      <xdr:row>162</xdr:row>
      <xdr:rowOff>156882</xdr:rowOff>
    </xdr:from>
    <xdr:to>
      <xdr:col>16</xdr:col>
      <xdr:colOff>515470</xdr:colOff>
      <xdr:row>172</xdr:row>
      <xdr:rowOff>156881</xdr:rowOff>
    </xdr:to>
    <xdr:graphicFrame macro="">
      <xdr:nvGraphicFramePr>
        <xdr:cNvPr id="1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470648</xdr:colOff>
      <xdr:row>193</xdr:row>
      <xdr:rowOff>156881</xdr:rowOff>
    </xdr:from>
    <xdr:to>
      <xdr:col>13</xdr:col>
      <xdr:colOff>414618</xdr:colOff>
      <xdr:row>207</xdr:row>
      <xdr:rowOff>123264</xdr:rowOff>
    </xdr:to>
    <xdr:graphicFrame macro="">
      <xdr:nvGraphicFramePr>
        <xdr:cNvPr id="1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123265</xdr:colOff>
      <xdr:row>194</xdr:row>
      <xdr:rowOff>11206</xdr:rowOff>
    </xdr:from>
    <xdr:to>
      <xdr:col>18</xdr:col>
      <xdr:colOff>302559</xdr:colOff>
      <xdr:row>208</xdr:row>
      <xdr:rowOff>56030</xdr:rowOff>
    </xdr:to>
    <xdr:graphicFrame macro="">
      <xdr:nvGraphicFramePr>
        <xdr:cNvPr id="1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175</xdr:row>
      <xdr:rowOff>0</xdr:rowOff>
    </xdr:from>
    <xdr:to>
      <xdr:col>12</xdr:col>
      <xdr:colOff>280147</xdr:colOff>
      <xdr:row>185</xdr:row>
      <xdr:rowOff>112058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56030</xdr:colOff>
      <xdr:row>356</xdr:row>
      <xdr:rowOff>54349</xdr:rowOff>
    </xdr:from>
    <xdr:to>
      <xdr:col>18</xdr:col>
      <xdr:colOff>56029</xdr:colOff>
      <xdr:row>386</xdr:row>
      <xdr:rowOff>54348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67235</xdr:colOff>
      <xdr:row>175</xdr:row>
      <xdr:rowOff>22412</xdr:rowOff>
    </xdr:from>
    <xdr:to>
      <xdr:col>16</xdr:col>
      <xdr:colOff>347382</xdr:colOff>
      <xdr:row>185</xdr:row>
      <xdr:rowOff>134470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571500</xdr:colOff>
      <xdr:row>426</xdr:row>
      <xdr:rowOff>85725</xdr:rowOff>
    </xdr:from>
    <xdr:to>
      <xdr:col>16</xdr:col>
      <xdr:colOff>552450</xdr:colOff>
      <xdr:row>444</xdr:row>
      <xdr:rowOff>19050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2</xdr:row>
      <xdr:rowOff>47625</xdr:rowOff>
    </xdr:from>
    <xdr:to>
      <xdr:col>12</xdr:col>
      <xdr:colOff>57150</xdr:colOff>
      <xdr:row>14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66674</xdr:colOff>
      <xdr:row>18</xdr:row>
      <xdr:rowOff>57150</xdr:rowOff>
    </xdr:from>
    <xdr:to>
      <xdr:col>12</xdr:col>
      <xdr:colOff>133349</xdr:colOff>
      <xdr:row>30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542924</xdr:colOff>
      <xdr:row>42</xdr:row>
      <xdr:rowOff>57150</xdr:rowOff>
    </xdr:from>
    <xdr:to>
      <xdr:col>12</xdr:col>
      <xdr:colOff>171449</xdr:colOff>
      <xdr:row>55</xdr:row>
      <xdr:rowOff>19049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209550</xdr:colOff>
      <xdr:row>69</xdr:row>
      <xdr:rowOff>47625</xdr:rowOff>
    </xdr:from>
    <xdr:to>
      <xdr:col>12</xdr:col>
      <xdr:colOff>57150</xdr:colOff>
      <xdr:row>81</xdr:row>
      <xdr:rowOff>14287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19049</xdr:colOff>
      <xdr:row>85</xdr:row>
      <xdr:rowOff>28575</xdr:rowOff>
    </xdr:from>
    <xdr:to>
      <xdr:col>12</xdr:col>
      <xdr:colOff>85724</xdr:colOff>
      <xdr:row>97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542925</xdr:colOff>
      <xdr:row>105</xdr:row>
      <xdr:rowOff>180974</xdr:rowOff>
    </xdr:from>
    <xdr:to>
      <xdr:col>12</xdr:col>
      <xdr:colOff>428625</xdr:colOff>
      <xdr:row>120</xdr:row>
      <xdr:rowOff>19049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2</xdr:row>
      <xdr:rowOff>47625</xdr:rowOff>
    </xdr:from>
    <xdr:to>
      <xdr:col>12</xdr:col>
      <xdr:colOff>57150</xdr:colOff>
      <xdr:row>14</xdr:row>
      <xdr:rowOff>14287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66674</xdr:colOff>
      <xdr:row>25</xdr:row>
      <xdr:rowOff>57150</xdr:rowOff>
    </xdr:from>
    <xdr:to>
      <xdr:col>12</xdr:col>
      <xdr:colOff>133349</xdr:colOff>
      <xdr:row>37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542924</xdr:colOff>
      <xdr:row>50</xdr:row>
      <xdr:rowOff>57150</xdr:rowOff>
    </xdr:from>
    <xdr:to>
      <xdr:col>12</xdr:col>
      <xdr:colOff>171449</xdr:colOff>
      <xdr:row>63</xdr:row>
      <xdr:rowOff>19049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209550</xdr:colOff>
      <xdr:row>78</xdr:row>
      <xdr:rowOff>47625</xdr:rowOff>
    </xdr:from>
    <xdr:to>
      <xdr:col>12</xdr:col>
      <xdr:colOff>57150</xdr:colOff>
      <xdr:row>90</xdr:row>
      <xdr:rowOff>14287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19049</xdr:colOff>
      <xdr:row>102</xdr:row>
      <xdr:rowOff>28575</xdr:rowOff>
    </xdr:from>
    <xdr:to>
      <xdr:col>12</xdr:col>
      <xdr:colOff>85724</xdr:colOff>
      <xdr:row>114</xdr:row>
      <xdr:rowOff>28575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581025</xdr:colOff>
      <xdr:row>126</xdr:row>
      <xdr:rowOff>180974</xdr:rowOff>
    </xdr:from>
    <xdr:to>
      <xdr:col>12</xdr:col>
      <xdr:colOff>466725</xdr:colOff>
      <xdr:row>141</xdr:row>
      <xdr:rowOff>19049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2</xdr:row>
      <xdr:rowOff>47625</xdr:rowOff>
    </xdr:from>
    <xdr:to>
      <xdr:col>12</xdr:col>
      <xdr:colOff>57150</xdr:colOff>
      <xdr:row>14</xdr:row>
      <xdr:rowOff>14287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66674</xdr:colOff>
      <xdr:row>30</xdr:row>
      <xdr:rowOff>57150</xdr:rowOff>
    </xdr:from>
    <xdr:to>
      <xdr:col>12</xdr:col>
      <xdr:colOff>133349</xdr:colOff>
      <xdr:row>42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542924</xdr:colOff>
      <xdr:row>58</xdr:row>
      <xdr:rowOff>57150</xdr:rowOff>
    </xdr:from>
    <xdr:to>
      <xdr:col>12</xdr:col>
      <xdr:colOff>171449</xdr:colOff>
      <xdr:row>71</xdr:row>
      <xdr:rowOff>19049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209550</xdr:colOff>
      <xdr:row>86</xdr:row>
      <xdr:rowOff>47625</xdr:rowOff>
    </xdr:from>
    <xdr:to>
      <xdr:col>12</xdr:col>
      <xdr:colOff>57150</xdr:colOff>
      <xdr:row>98</xdr:row>
      <xdr:rowOff>14287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19049</xdr:colOff>
      <xdr:row>113</xdr:row>
      <xdr:rowOff>28575</xdr:rowOff>
    </xdr:from>
    <xdr:to>
      <xdr:col>12</xdr:col>
      <xdr:colOff>85724</xdr:colOff>
      <xdr:row>125</xdr:row>
      <xdr:rowOff>28575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581025</xdr:colOff>
      <xdr:row>140</xdr:row>
      <xdr:rowOff>180974</xdr:rowOff>
    </xdr:from>
    <xdr:to>
      <xdr:col>12</xdr:col>
      <xdr:colOff>466725</xdr:colOff>
      <xdr:row>155</xdr:row>
      <xdr:rowOff>19049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N145"/>
  <sheetViews>
    <sheetView tabSelected="1" topLeftCell="A4" zoomScaleNormal="100" workbookViewId="0">
      <selection activeCell="A2" sqref="A2"/>
    </sheetView>
  </sheetViews>
  <sheetFormatPr defaultRowHeight="12.75" x14ac:dyDescent="0.2"/>
  <cols>
    <col min="1" max="1" width="10.140625" bestFit="1" customWidth="1"/>
    <col min="3" max="3" width="9.5703125" bestFit="1" customWidth="1"/>
    <col min="38" max="38" width="4.7109375" customWidth="1"/>
    <col min="39" max="40" width="9.140625" hidden="1" customWidth="1"/>
  </cols>
  <sheetData>
    <row r="1" spans="1:4" x14ac:dyDescent="0.2">
      <c r="A1" s="352" t="s">
        <v>167</v>
      </c>
      <c r="B1" s="352"/>
      <c r="C1" s="352"/>
      <c r="D1" s="352"/>
    </row>
    <row r="2" spans="1:4" ht="15" x14ac:dyDescent="0.25">
      <c r="A2" s="84" t="s">
        <v>210</v>
      </c>
      <c r="B2" s="84" t="s">
        <v>211</v>
      </c>
      <c r="C2" s="84" t="s">
        <v>142</v>
      </c>
      <c r="D2" s="148" t="s">
        <v>143</v>
      </c>
    </row>
    <row r="3" spans="1:4" x14ac:dyDescent="0.2">
      <c r="A3" s="149">
        <v>41274</v>
      </c>
      <c r="B3" s="282">
        <f>'2012'!B206</f>
        <v>172</v>
      </c>
      <c r="C3" s="108">
        <f>B3/25/24</f>
        <v>0.28666666666666668</v>
      </c>
      <c r="D3" s="108">
        <f>B3/27/28</f>
        <v>0.2275132275132275</v>
      </c>
    </row>
    <row r="4" spans="1:4" x14ac:dyDescent="0.2">
      <c r="A4" s="149">
        <v>41639</v>
      </c>
      <c r="B4" s="13">
        <f>'2013'!B232</f>
        <v>379</v>
      </c>
      <c r="C4" s="108">
        <f t="shared" ref="C4:C5" si="0">B4/25/24</f>
        <v>0.63166666666666671</v>
      </c>
      <c r="D4" s="108">
        <f t="shared" ref="D4:D5" si="1">B4/27/28</f>
        <v>0.50132275132275128</v>
      </c>
    </row>
    <row r="5" spans="1:4" x14ac:dyDescent="0.2">
      <c r="A5" s="149">
        <v>42004</v>
      </c>
      <c r="B5" s="13">
        <f>'2014'!B239</f>
        <v>496</v>
      </c>
      <c r="C5" s="108">
        <f t="shared" si="0"/>
        <v>0.82666666666666666</v>
      </c>
      <c r="D5" s="108">
        <f t="shared" si="1"/>
        <v>0.65608465608465605</v>
      </c>
    </row>
    <row r="6" spans="1:4" x14ac:dyDescent="0.2">
      <c r="A6" s="149">
        <v>42005</v>
      </c>
      <c r="B6" s="2">
        <f>'2015'!B240</f>
        <v>558</v>
      </c>
      <c r="C6" s="108">
        <f t="shared" ref="C6" si="2">B6/25/24</f>
        <v>0.93</v>
      </c>
      <c r="D6" s="108">
        <f t="shared" ref="D6" si="3">B6/27/28</f>
        <v>0.73809523809523814</v>
      </c>
    </row>
    <row r="21" spans="1:3" x14ac:dyDescent="0.2">
      <c r="A21" s="425" t="s">
        <v>11</v>
      </c>
      <c r="B21" s="425"/>
      <c r="C21" s="425"/>
    </row>
    <row r="22" spans="1:3" x14ac:dyDescent="0.2">
      <c r="A22" s="84" t="s">
        <v>210</v>
      </c>
      <c r="B22" s="84" t="s">
        <v>211</v>
      </c>
      <c r="C22" s="150" t="s">
        <v>208</v>
      </c>
    </row>
    <row r="23" spans="1:3" x14ac:dyDescent="0.2">
      <c r="A23" s="149">
        <v>41274</v>
      </c>
      <c r="B23" s="2">
        <f>'2012'!A63:B63</f>
        <v>300973</v>
      </c>
      <c r="C23" s="2">
        <f>'2012'!B64</f>
        <v>37567.75</v>
      </c>
    </row>
    <row r="24" spans="1:3" x14ac:dyDescent="0.2">
      <c r="A24" s="149">
        <v>41639</v>
      </c>
      <c r="B24" s="2">
        <f>'2013'!A77:B77</f>
        <v>862643</v>
      </c>
      <c r="C24" s="2">
        <f>'2013'!B78</f>
        <v>71886.916666666672</v>
      </c>
    </row>
    <row r="25" spans="1:3" x14ac:dyDescent="0.2">
      <c r="A25" s="149">
        <v>42004</v>
      </c>
      <c r="B25" s="2">
        <v>1256639</v>
      </c>
      <c r="C25" s="2">
        <f>'2014'!B78</f>
        <v>104719.91666666667</v>
      </c>
    </row>
    <row r="26" spans="1:3" x14ac:dyDescent="0.2">
      <c r="A26" s="149">
        <v>42005</v>
      </c>
      <c r="B26" s="13">
        <v>1811930</v>
      </c>
      <c r="C26" s="2">
        <f>'2015'!B78</f>
        <v>150994.16666666666</v>
      </c>
    </row>
    <row r="41" spans="1:6" x14ac:dyDescent="0.2">
      <c r="A41" s="425" t="s">
        <v>209</v>
      </c>
      <c r="B41" s="425"/>
      <c r="C41" s="425"/>
      <c r="D41" s="425"/>
    </row>
    <row r="42" spans="1:6" x14ac:dyDescent="0.2">
      <c r="A42" s="84" t="s">
        <v>210</v>
      </c>
      <c r="B42" s="84" t="s">
        <v>0</v>
      </c>
      <c r="C42" s="150" t="s">
        <v>1</v>
      </c>
      <c r="D42" s="260" t="s">
        <v>63</v>
      </c>
      <c r="E42" s="6"/>
      <c r="F42" s="6"/>
    </row>
    <row r="43" spans="1:6" x14ac:dyDescent="0.2">
      <c r="A43" s="149">
        <v>41274</v>
      </c>
      <c r="B43" s="2">
        <f>'2012'!B84</f>
        <v>76611</v>
      </c>
      <c r="C43" s="2">
        <f>'2012'!C84</f>
        <v>50909</v>
      </c>
      <c r="D43" s="2">
        <f>'2012'!D84</f>
        <v>47454</v>
      </c>
    </row>
    <row r="44" spans="1:6" x14ac:dyDescent="0.2">
      <c r="A44" s="149">
        <v>41639</v>
      </c>
      <c r="B44" s="2">
        <f>'2013'!B102</f>
        <v>254836</v>
      </c>
      <c r="C44" s="2">
        <f>'2013'!C102</f>
        <v>130271</v>
      </c>
      <c r="D44" s="2">
        <f>'2013'!D102</f>
        <v>124144</v>
      </c>
    </row>
    <row r="45" spans="1:6" x14ac:dyDescent="0.2">
      <c r="A45" s="149">
        <v>42004</v>
      </c>
      <c r="B45" s="2">
        <f>'2014'!B102</f>
        <v>365653</v>
      </c>
      <c r="C45" s="2">
        <f>'2014'!C102</f>
        <v>211292</v>
      </c>
      <c r="D45" s="2">
        <f>'2014'!D102</f>
        <v>206647</v>
      </c>
    </row>
    <row r="46" spans="1:6" x14ac:dyDescent="0.2">
      <c r="A46" s="149">
        <v>42369</v>
      </c>
      <c r="B46" s="2">
        <v>431209</v>
      </c>
      <c r="C46" s="2">
        <v>296776</v>
      </c>
      <c r="D46" s="2">
        <v>290519</v>
      </c>
    </row>
    <row r="67" spans="1:11" ht="13.5" thickBot="1" x14ac:dyDescent="0.25">
      <c r="A67" s="307" t="s">
        <v>69</v>
      </c>
      <c r="B67" s="307"/>
      <c r="C67" s="307"/>
      <c r="D67" s="307"/>
      <c r="E67" s="307"/>
      <c r="F67" s="307"/>
      <c r="G67" s="307"/>
      <c r="H67" s="307"/>
      <c r="I67" s="307"/>
      <c r="J67" s="445"/>
      <c r="K67" s="445"/>
    </row>
    <row r="68" spans="1:11" x14ac:dyDescent="0.2">
      <c r="A68" s="82"/>
      <c r="B68" s="82"/>
      <c r="C68" s="82"/>
      <c r="D68" s="423">
        <v>2012</v>
      </c>
      <c r="E68" s="424"/>
      <c r="F68" s="423">
        <v>2013</v>
      </c>
      <c r="G68" s="424"/>
      <c r="H68" s="423">
        <v>2014</v>
      </c>
      <c r="I68" s="424"/>
      <c r="J68" s="423">
        <v>2015</v>
      </c>
      <c r="K68" s="424"/>
    </row>
    <row r="69" spans="1:11" x14ac:dyDescent="0.2">
      <c r="A69" s="329" t="s">
        <v>70</v>
      </c>
      <c r="B69" s="329"/>
      <c r="C69" s="319"/>
      <c r="D69" s="145">
        <v>51089</v>
      </c>
      <c r="E69" s="146">
        <f>D69/D71</f>
        <v>0.67732141910165988</v>
      </c>
      <c r="F69" s="139">
        <v>194040</v>
      </c>
      <c r="G69" s="138">
        <f>F69/F71</f>
        <v>0.76173278112548337</v>
      </c>
      <c r="H69" s="139">
        <f>'2014'!D165</f>
        <v>278623</v>
      </c>
      <c r="I69" s="138">
        <f>H69/H71</f>
        <v>0.76214586803874418</v>
      </c>
      <c r="J69" s="139">
        <v>320799</v>
      </c>
      <c r="K69" s="138">
        <f>J69/J71</f>
        <v>0.74401113237084715</v>
      </c>
    </row>
    <row r="70" spans="1:11" x14ac:dyDescent="0.2">
      <c r="A70" s="329" t="s">
        <v>71</v>
      </c>
      <c r="B70" s="329"/>
      <c r="C70" s="319"/>
      <c r="D70" s="145">
        <v>24339</v>
      </c>
      <c r="E70" s="146">
        <f>D70/D71</f>
        <v>0.32267858089834012</v>
      </c>
      <c r="F70" s="139">
        <v>60695</v>
      </c>
      <c r="G70" s="138">
        <f>F70/F71</f>
        <v>0.23826721887451666</v>
      </c>
      <c r="H70" s="139">
        <f>'2014'!D166</f>
        <v>86954</v>
      </c>
      <c r="I70" s="138">
        <f>H70/H71</f>
        <v>0.23785413196125577</v>
      </c>
      <c r="J70" s="139">
        <v>110376</v>
      </c>
      <c r="K70" s="138">
        <f>J70/J71</f>
        <v>0.25598886762915291</v>
      </c>
    </row>
    <row r="71" spans="1:11" ht="13.5" thickBot="1" x14ac:dyDescent="0.25">
      <c r="A71" s="330"/>
      <c r="B71" s="330"/>
      <c r="C71" s="322"/>
      <c r="D71" s="262">
        <f>SUM(D69:D70)</f>
        <v>75428</v>
      </c>
      <c r="E71" s="142"/>
      <c r="F71" s="263">
        <f>SUM(F69:F70)</f>
        <v>254735</v>
      </c>
      <c r="G71" s="144"/>
      <c r="H71" s="263">
        <f>SUM(H69:H70)</f>
        <v>365577</v>
      </c>
      <c r="I71" s="144"/>
      <c r="J71" s="263">
        <f>SUM(J69:J70)</f>
        <v>431175</v>
      </c>
      <c r="K71" s="144"/>
    </row>
    <row r="74" spans="1:11" ht="13.5" thickBot="1" x14ac:dyDescent="0.25">
      <c r="A74" s="307" t="s">
        <v>72</v>
      </c>
      <c r="B74" s="307"/>
      <c r="C74" s="307"/>
      <c r="D74" s="307"/>
      <c r="E74" s="307"/>
      <c r="F74" s="307"/>
      <c r="G74" s="307"/>
      <c r="H74" s="307"/>
      <c r="I74" s="307"/>
      <c r="J74" s="445"/>
      <c r="K74" s="445"/>
    </row>
    <row r="75" spans="1:11" x14ac:dyDescent="0.2">
      <c r="A75" s="82"/>
      <c r="B75" s="82"/>
      <c r="C75" s="82"/>
      <c r="D75" s="423">
        <v>2012</v>
      </c>
      <c r="E75" s="424"/>
      <c r="F75" s="423">
        <v>2013</v>
      </c>
      <c r="G75" s="424"/>
      <c r="H75" s="423">
        <v>2014</v>
      </c>
      <c r="I75" s="424"/>
      <c r="J75" s="423">
        <v>2015</v>
      </c>
      <c r="K75" s="424"/>
    </row>
    <row r="76" spans="1:11" x14ac:dyDescent="0.2">
      <c r="A76" s="331" t="s">
        <v>73</v>
      </c>
      <c r="B76" s="332"/>
      <c r="C76" s="332"/>
      <c r="D76" s="140">
        <v>41601</v>
      </c>
      <c r="E76" s="141">
        <f>D76/D78</f>
        <v>0.82332568081063962</v>
      </c>
      <c r="F76" s="147">
        <v>104500</v>
      </c>
      <c r="G76" s="143">
        <f>F76/F78</f>
        <v>0.80617164898746385</v>
      </c>
      <c r="H76" s="147">
        <f>'2014'!D170</f>
        <v>171286</v>
      </c>
      <c r="I76" s="143">
        <f>H76/H78</f>
        <v>0.81113615699348385</v>
      </c>
      <c r="J76" s="147">
        <v>244604</v>
      </c>
      <c r="K76" s="143">
        <f>J76/J78</f>
        <v>0.84419855943288458</v>
      </c>
    </row>
    <row r="77" spans="1:11" x14ac:dyDescent="0.2">
      <c r="A77" s="331" t="s">
        <v>74</v>
      </c>
      <c r="B77" s="332"/>
      <c r="C77" s="332"/>
      <c r="D77" s="140">
        <v>8927</v>
      </c>
      <c r="E77" s="141">
        <f>D77/D78</f>
        <v>0.17667431918936036</v>
      </c>
      <c r="F77" s="147">
        <v>25125</v>
      </c>
      <c r="G77" s="143">
        <f>F77/F78</f>
        <v>0.19382835101253615</v>
      </c>
      <c r="H77" s="147">
        <f>'2014'!D171</f>
        <v>39882</v>
      </c>
      <c r="I77" s="143">
        <f>H77/H78</f>
        <v>0.18886384300651615</v>
      </c>
      <c r="J77" s="147">
        <v>45143</v>
      </c>
      <c r="K77" s="143">
        <f>J77/J78</f>
        <v>0.15580144056711545</v>
      </c>
    </row>
    <row r="78" spans="1:11" ht="13.5" thickBot="1" x14ac:dyDescent="0.25">
      <c r="A78" s="330"/>
      <c r="B78" s="330"/>
      <c r="C78" s="322"/>
      <c r="D78" s="262">
        <f>SUM(D76:D77)</f>
        <v>50528</v>
      </c>
      <c r="E78" s="264"/>
      <c r="F78" s="263">
        <f>SUM(F76:F77)</f>
        <v>129625</v>
      </c>
      <c r="G78" s="265"/>
      <c r="H78" s="263">
        <f>SUM(H76:H77)</f>
        <v>211168</v>
      </c>
      <c r="I78" s="144"/>
      <c r="J78" s="263">
        <f>SUM(J76:J77)</f>
        <v>289747</v>
      </c>
      <c r="K78" s="144"/>
    </row>
    <row r="81" spans="1:28" ht="15.75" thickBot="1" x14ac:dyDescent="0.3">
      <c r="A81" s="312" t="s">
        <v>104</v>
      </c>
      <c r="B81" s="312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t="s">
        <v>146</v>
      </c>
      <c r="N81" s="126"/>
      <c r="Q81" t="s">
        <v>146</v>
      </c>
      <c r="R81" s="126"/>
      <c r="U81" t="str">
        <f>'2014'!M394</f>
        <v xml:space="preserve">Top 5 in </v>
      </c>
      <c r="V81" s="126"/>
      <c r="Y81" t="s">
        <v>146</v>
      </c>
      <c r="Z81" s="126"/>
    </row>
    <row r="82" spans="1:28" ht="15.75" thickBot="1" x14ac:dyDescent="0.3">
      <c r="A82" s="427"/>
      <c r="B82" s="428"/>
      <c r="C82" s="428"/>
      <c r="D82" s="428"/>
      <c r="E82" s="428"/>
      <c r="F82" s="428"/>
      <c r="G82" s="428"/>
      <c r="H82" s="428"/>
      <c r="I82" s="428"/>
      <c r="J82" s="428"/>
      <c r="K82" s="428"/>
      <c r="L82" s="428"/>
      <c r="M82" s="398">
        <v>2012</v>
      </c>
      <c r="N82" s="399"/>
      <c r="O82" s="399"/>
      <c r="P82" s="400"/>
      <c r="Q82" s="418">
        <v>2013</v>
      </c>
      <c r="R82" s="419"/>
      <c r="S82" s="419"/>
      <c r="T82" s="420"/>
      <c r="U82" s="398">
        <f>'2014'!M395</f>
        <v>2014</v>
      </c>
      <c r="V82" s="399">
        <f>'2014'!N395</f>
        <v>0</v>
      </c>
      <c r="W82" s="399">
        <f>'2014'!O395</f>
        <v>0</v>
      </c>
      <c r="X82" s="400">
        <f>'2014'!P395</f>
        <v>0</v>
      </c>
      <c r="Y82" s="418">
        <v>2015</v>
      </c>
      <c r="Z82" s="419"/>
      <c r="AA82" s="419"/>
      <c r="AB82" s="420"/>
    </row>
    <row r="83" spans="1:28" ht="15" customHeight="1" x14ac:dyDescent="0.25">
      <c r="A83" s="429" t="s">
        <v>106</v>
      </c>
      <c r="B83" s="368"/>
      <c r="C83" s="368"/>
      <c r="D83" s="368"/>
      <c r="E83" s="368"/>
      <c r="F83" s="368"/>
      <c r="G83" s="368"/>
      <c r="H83" s="368"/>
      <c r="I83" s="368"/>
      <c r="J83" s="368"/>
      <c r="K83" s="368"/>
      <c r="L83" s="430"/>
      <c r="M83" s="116">
        <v>20655</v>
      </c>
      <c r="N83" s="117">
        <f t="shared" ref="N83:N113" si="4">M83/M$118</f>
        <v>0.40878324889170359</v>
      </c>
      <c r="O83" s="402">
        <f>SUM(N83:N85)</f>
        <v>0.82332568081063962</v>
      </c>
      <c r="P83" s="386">
        <f>O83</f>
        <v>0.82332568081063962</v>
      </c>
      <c r="Q83" s="118">
        <v>55027</v>
      </c>
      <c r="R83" s="117">
        <f t="shared" ref="R83:R111" si="5">Q83/Q$118</f>
        <v>0.42450916104146574</v>
      </c>
      <c r="S83" s="402">
        <f>SUM(R83:R85)</f>
        <v>0.80617164898746374</v>
      </c>
      <c r="T83" s="386">
        <f>S83</f>
        <v>0.80617164898746374</v>
      </c>
      <c r="U83" s="116">
        <f>'2014'!M396</f>
        <v>79383</v>
      </c>
      <c r="V83" s="117">
        <f>'2014'!N396</f>
        <v>0.37592343536899531</v>
      </c>
      <c r="W83" s="402">
        <f>'2014'!O396</f>
        <v>0.81113615699348396</v>
      </c>
      <c r="X83" s="386">
        <f>'2014'!P396</f>
        <v>0.81113615699348396</v>
      </c>
      <c r="Y83" s="118">
        <v>131941</v>
      </c>
      <c r="Z83" s="117">
        <f t="shared" ref="Z83:Z99" si="6">Y83/Y$118</f>
        <v>0.45536623330008591</v>
      </c>
      <c r="AA83" s="402">
        <f>SUM(Z83:Z85)</f>
        <v>0.84419855943288458</v>
      </c>
      <c r="AB83" s="386">
        <f>AA83</f>
        <v>0.84419855943288458</v>
      </c>
    </row>
    <row r="84" spans="1:28" ht="15" customHeight="1" x14ac:dyDescent="0.25">
      <c r="A84" s="303" t="s">
        <v>107</v>
      </c>
      <c r="B84" s="304"/>
      <c r="C84" s="304"/>
      <c r="D84" s="304"/>
      <c r="E84" s="304"/>
      <c r="F84" s="304"/>
      <c r="G84" s="304"/>
      <c r="H84" s="304"/>
      <c r="I84" s="304"/>
      <c r="J84" s="304"/>
      <c r="K84" s="304"/>
      <c r="L84" s="426"/>
      <c r="M84" s="109">
        <v>20810</v>
      </c>
      <c r="N84" s="108">
        <f t="shared" si="4"/>
        <v>0.41185085497150092</v>
      </c>
      <c r="O84" s="403"/>
      <c r="P84" s="387"/>
      <c r="Q84" s="113">
        <v>48765</v>
      </c>
      <c r="R84" s="108">
        <f t="shared" si="5"/>
        <v>0.37620057859209255</v>
      </c>
      <c r="S84" s="403"/>
      <c r="T84" s="387"/>
      <c r="U84" s="109">
        <f>'2014'!M397</f>
        <v>90568</v>
      </c>
      <c r="V84" s="108">
        <f>'2014'!N397</f>
        <v>0.42889074102136687</v>
      </c>
      <c r="W84" s="403">
        <f>'2014'!O397</f>
        <v>0</v>
      </c>
      <c r="X84" s="387">
        <f>'2014'!P397</f>
        <v>0</v>
      </c>
      <c r="Y84" s="113">
        <v>110978</v>
      </c>
      <c r="Z84" s="108">
        <f t="shared" si="6"/>
        <v>0.38301690785409342</v>
      </c>
      <c r="AA84" s="403"/>
      <c r="AB84" s="387"/>
    </row>
    <row r="85" spans="1:28" ht="15.75" customHeight="1" thickBot="1" x14ac:dyDescent="0.3">
      <c r="A85" s="294" t="s">
        <v>108</v>
      </c>
      <c r="B85" s="295"/>
      <c r="C85" s="295"/>
      <c r="D85" s="295"/>
      <c r="E85" s="295"/>
      <c r="F85" s="295"/>
      <c r="G85" s="295"/>
      <c r="H85" s="295"/>
      <c r="I85" s="295"/>
      <c r="J85" s="295"/>
      <c r="K85" s="295"/>
      <c r="L85" s="431"/>
      <c r="M85" s="110">
        <v>136</v>
      </c>
      <c r="N85" s="115">
        <f t="shared" si="4"/>
        <v>2.6915769474350855E-3</v>
      </c>
      <c r="O85" s="404"/>
      <c r="P85" s="388"/>
      <c r="Q85" s="114">
        <v>708</v>
      </c>
      <c r="R85" s="115">
        <f t="shared" si="5"/>
        <v>5.461909353905497E-3</v>
      </c>
      <c r="S85" s="404"/>
      <c r="T85" s="388"/>
      <c r="U85" s="110">
        <f>'2014'!M398</f>
        <v>1335</v>
      </c>
      <c r="V85" s="115">
        <f>'2014'!N398</f>
        <v>6.321980603121685E-3</v>
      </c>
      <c r="W85" s="404">
        <f>'2014'!O398</f>
        <v>0</v>
      </c>
      <c r="X85" s="388">
        <f>'2014'!P398</f>
        <v>0</v>
      </c>
      <c r="Y85" s="114">
        <v>1685</v>
      </c>
      <c r="Z85" s="115">
        <f t="shared" si="6"/>
        <v>5.8154182787052153E-3</v>
      </c>
      <c r="AA85" s="404"/>
      <c r="AB85" s="388"/>
    </row>
    <row r="86" spans="1:28" ht="15" customHeight="1" x14ac:dyDescent="0.25">
      <c r="A86" s="429" t="s">
        <v>109</v>
      </c>
      <c r="B86" s="368"/>
      <c r="C86" s="368"/>
      <c r="D86" s="368"/>
      <c r="E86" s="368"/>
      <c r="F86" s="368"/>
      <c r="G86" s="368"/>
      <c r="H86" s="368"/>
      <c r="I86" s="368"/>
      <c r="J86" s="368"/>
      <c r="K86" s="368"/>
      <c r="L86" s="432"/>
      <c r="M86" s="134">
        <v>734</v>
      </c>
      <c r="N86" s="117">
        <f t="shared" si="4"/>
        <v>1.4526599113362888E-2</v>
      </c>
      <c r="O86" s="386">
        <f>SUM(N86:N100)</f>
        <v>1.8504591513616216E-2</v>
      </c>
      <c r="P86" s="407">
        <f>SUM(O86:O117)</f>
        <v>0.17667431918936036</v>
      </c>
      <c r="Q86" s="118">
        <v>3242</v>
      </c>
      <c r="R86" s="117">
        <f t="shared" si="5"/>
        <v>2.5010607521697203E-2</v>
      </c>
      <c r="S86" s="386">
        <f>SUM(R86:R100)</f>
        <v>2.9739633558341375E-2</v>
      </c>
      <c r="T86" s="407">
        <f>SUM(S86:S117)</f>
        <v>0.19382835101253618</v>
      </c>
      <c r="U86" s="134">
        <f>'2014'!M399</f>
        <v>5252</v>
      </c>
      <c r="V86" s="117">
        <f>'2014'!N399</f>
        <v>2.4871192604940143E-2</v>
      </c>
      <c r="W86" s="386">
        <f>'2014'!O399</f>
        <v>2.98103879375663E-2</v>
      </c>
      <c r="X86" s="407">
        <f>'2014'!P399</f>
        <v>0.18884963630853158</v>
      </c>
      <c r="Y86" s="118">
        <v>6710</v>
      </c>
      <c r="Z86" s="117">
        <f t="shared" si="6"/>
        <v>2.3158134510452223E-2</v>
      </c>
      <c r="AA86" s="386">
        <f>SUM(Z86:Z100)</f>
        <v>3.3373943474824599E-2</v>
      </c>
      <c r="AB86" s="407">
        <f>SUM(AA86:AA117)</f>
        <v>0.15576002512536799</v>
      </c>
    </row>
    <row r="87" spans="1:28" ht="15.75" customHeight="1" x14ac:dyDescent="0.25">
      <c r="A87" s="303" t="s">
        <v>110</v>
      </c>
      <c r="B87" s="304"/>
      <c r="C87" s="304"/>
      <c r="D87" s="304"/>
      <c r="E87" s="304"/>
      <c r="F87" s="304"/>
      <c r="G87" s="304"/>
      <c r="H87" s="304"/>
      <c r="I87" s="304"/>
      <c r="J87" s="304"/>
      <c r="K87" s="304"/>
      <c r="L87" s="417"/>
      <c r="M87" s="135">
        <v>41</v>
      </c>
      <c r="N87" s="108">
        <f t="shared" si="4"/>
        <v>8.1143128562381252E-4</v>
      </c>
      <c r="O87" s="387"/>
      <c r="P87" s="408"/>
      <c r="Q87" s="113">
        <v>98</v>
      </c>
      <c r="R87" s="108">
        <f t="shared" si="5"/>
        <v>7.5602700096432014E-4</v>
      </c>
      <c r="S87" s="387"/>
      <c r="T87" s="408"/>
      <c r="U87" s="135">
        <f>'2014'!M400</f>
        <v>239</v>
      </c>
      <c r="V87" s="108">
        <f>'2014'!N400</f>
        <v>1.1318002727686014E-3</v>
      </c>
      <c r="W87" s="387">
        <f>'2014'!O400</f>
        <v>0</v>
      </c>
      <c r="X87" s="408">
        <f>'2014'!P400</f>
        <v>0</v>
      </c>
      <c r="Y87" s="113">
        <v>1995</v>
      </c>
      <c r="Z87" s="108">
        <f t="shared" si="6"/>
        <v>6.8853171905144837E-3</v>
      </c>
      <c r="AA87" s="387"/>
      <c r="AB87" s="408"/>
    </row>
    <row r="88" spans="1:28" ht="15" customHeight="1" x14ac:dyDescent="0.25">
      <c r="A88" s="303" t="s">
        <v>111</v>
      </c>
      <c r="B88" s="304"/>
      <c r="C88" s="304"/>
      <c r="D88" s="304"/>
      <c r="E88" s="304"/>
      <c r="F88" s="304"/>
      <c r="G88" s="304"/>
      <c r="H88" s="304"/>
      <c r="I88" s="304"/>
      <c r="J88" s="304"/>
      <c r="K88" s="304"/>
      <c r="L88" s="417"/>
      <c r="M88" s="135">
        <v>14</v>
      </c>
      <c r="N88" s="108">
        <f t="shared" si="4"/>
        <v>2.7707409753008236E-4</v>
      </c>
      <c r="O88" s="387"/>
      <c r="P88" s="408"/>
      <c r="Q88" s="113">
        <v>23</v>
      </c>
      <c r="R88" s="108">
        <f t="shared" si="5"/>
        <v>1.7743490838958534E-4</v>
      </c>
      <c r="S88" s="387"/>
      <c r="T88" s="408"/>
      <c r="U88" s="135">
        <f>'2014'!M401</f>
        <v>54</v>
      </c>
      <c r="V88" s="108">
        <f>'2014'!N401</f>
        <v>2.5572056372177604E-4</v>
      </c>
      <c r="W88" s="387">
        <f>'2014'!O401</f>
        <v>0</v>
      </c>
      <c r="X88" s="408">
        <f>'2014'!P401</f>
        <v>0</v>
      </c>
      <c r="Y88" s="113">
        <v>27</v>
      </c>
      <c r="Z88" s="108">
        <f t="shared" si="6"/>
        <v>9.3184743931774968E-5</v>
      </c>
      <c r="AA88" s="387"/>
      <c r="AB88" s="408"/>
    </row>
    <row r="89" spans="1:28" ht="15" customHeight="1" x14ac:dyDescent="0.25">
      <c r="A89" s="389" t="s">
        <v>204</v>
      </c>
      <c r="B89" s="304"/>
      <c r="C89" s="304"/>
      <c r="D89" s="304"/>
      <c r="E89" s="304"/>
      <c r="F89" s="304"/>
      <c r="G89" s="304"/>
      <c r="H89" s="304"/>
      <c r="I89" s="304"/>
      <c r="J89" s="304"/>
      <c r="K89" s="304"/>
      <c r="L89" s="417"/>
      <c r="M89" s="135">
        <v>0</v>
      </c>
      <c r="N89" s="108">
        <f t="shared" si="4"/>
        <v>0</v>
      </c>
      <c r="O89" s="387"/>
      <c r="P89" s="408"/>
      <c r="Q89" s="113">
        <v>0</v>
      </c>
      <c r="R89" s="108">
        <f t="shared" si="5"/>
        <v>0</v>
      </c>
      <c r="S89" s="387"/>
      <c r="T89" s="408"/>
      <c r="U89" s="135">
        <v>0</v>
      </c>
      <c r="V89" s="108"/>
      <c r="W89" s="387"/>
      <c r="X89" s="408"/>
      <c r="Y89" s="113">
        <v>21</v>
      </c>
      <c r="Z89" s="108">
        <f t="shared" si="6"/>
        <v>7.2477023058047189E-5</v>
      </c>
      <c r="AA89" s="387"/>
      <c r="AB89" s="408"/>
    </row>
    <row r="90" spans="1:28" ht="15" customHeight="1" x14ac:dyDescent="0.25">
      <c r="A90" s="303" t="s">
        <v>112</v>
      </c>
      <c r="B90" s="304"/>
      <c r="C90" s="304"/>
      <c r="D90" s="304"/>
      <c r="E90" s="304"/>
      <c r="F90" s="304"/>
      <c r="G90" s="304"/>
      <c r="H90" s="304"/>
      <c r="I90" s="304"/>
      <c r="J90" s="304"/>
      <c r="K90" s="304"/>
      <c r="L90" s="417"/>
      <c r="M90" s="135">
        <v>21</v>
      </c>
      <c r="N90" s="108">
        <f t="shared" si="4"/>
        <v>4.1561114629512351E-4</v>
      </c>
      <c r="O90" s="387"/>
      <c r="P90" s="408"/>
      <c r="Q90" s="113">
        <v>123</v>
      </c>
      <c r="R90" s="108">
        <f t="shared" si="5"/>
        <v>9.4889103182256508E-4</v>
      </c>
      <c r="S90" s="387"/>
      <c r="T90" s="408"/>
      <c r="U90" s="135">
        <f>'2014'!M402</f>
        <v>24</v>
      </c>
      <c r="V90" s="108">
        <f>'2014'!N402</f>
        <v>1.136535838763449E-4</v>
      </c>
      <c r="W90" s="387">
        <f>'2014'!O402</f>
        <v>0</v>
      </c>
      <c r="X90" s="408">
        <f>'2014'!P402</f>
        <v>0</v>
      </c>
      <c r="Y90" s="113">
        <v>313</v>
      </c>
      <c r="Z90" s="108">
        <f t="shared" si="6"/>
        <v>1.0802527722461319E-3</v>
      </c>
      <c r="AA90" s="387"/>
      <c r="AB90" s="408"/>
    </row>
    <row r="91" spans="1:28" ht="15" customHeight="1" x14ac:dyDescent="0.25">
      <c r="A91" s="303" t="s">
        <v>113</v>
      </c>
      <c r="B91" s="304"/>
      <c r="C91" s="304"/>
      <c r="D91" s="304"/>
      <c r="E91" s="304"/>
      <c r="F91" s="304"/>
      <c r="G91" s="304"/>
      <c r="H91" s="304"/>
      <c r="I91" s="304"/>
      <c r="J91" s="304"/>
      <c r="K91" s="304"/>
      <c r="L91" s="417"/>
      <c r="M91" s="135">
        <v>17</v>
      </c>
      <c r="N91" s="108">
        <f t="shared" si="4"/>
        <v>3.3644711842938568E-4</v>
      </c>
      <c r="O91" s="387"/>
      <c r="P91" s="408"/>
      <c r="Q91" s="113">
        <v>31</v>
      </c>
      <c r="R91" s="108">
        <f t="shared" si="5"/>
        <v>2.3915139826422371E-4</v>
      </c>
      <c r="S91" s="387"/>
      <c r="T91" s="408"/>
      <c r="U91" s="135">
        <f>'2014'!M403</f>
        <v>16</v>
      </c>
      <c r="V91" s="108">
        <f>'2014'!N403</f>
        <v>7.5769055917563263E-5</v>
      </c>
      <c r="W91" s="387">
        <f>'2014'!O403</f>
        <v>0</v>
      </c>
      <c r="X91" s="408">
        <f>'2014'!P403</f>
        <v>0</v>
      </c>
      <c r="Y91" s="113">
        <v>37</v>
      </c>
      <c r="Z91" s="108">
        <f t="shared" si="6"/>
        <v>1.2769761205465457E-4</v>
      </c>
      <c r="AA91" s="387"/>
      <c r="AB91" s="408"/>
    </row>
    <row r="92" spans="1:28" ht="15" customHeight="1" x14ac:dyDescent="0.25">
      <c r="A92" s="303" t="s">
        <v>114</v>
      </c>
      <c r="B92" s="304"/>
      <c r="C92" s="304"/>
      <c r="D92" s="304"/>
      <c r="E92" s="304"/>
      <c r="F92" s="304"/>
      <c r="G92" s="304"/>
      <c r="H92" s="304"/>
      <c r="I92" s="304"/>
      <c r="J92" s="304"/>
      <c r="K92" s="304"/>
      <c r="L92" s="417"/>
      <c r="M92" s="135">
        <v>69</v>
      </c>
      <c r="N92" s="108">
        <f t="shared" si="4"/>
        <v>1.3655794806839772E-3</v>
      </c>
      <c r="O92" s="387"/>
      <c r="P92" s="408"/>
      <c r="Q92" s="113">
        <v>260</v>
      </c>
      <c r="R92" s="108">
        <f t="shared" si="5"/>
        <v>2.0057859209257475E-3</v>
      </c>
      <c r="S92" s="387"/>
      <c r="T92" s="408"/>
      <c r="U92" s="135">
        <f>'2014'!M404</f>
        <v>584</v>
      </c>
      <c r="V92" s="108">
        <f>'2014'!N404</f>
        <v>2.7655705409910594E-3</v>
      </c>
      <c r="W92" s="387">
        <f>'2014'!O404</f>
        <v>0</v>
      </c>
      <c r="X92" s="408">
        <f>'2014'!P404</f>
        <v>0</v>
      </c>
      <c r="Y92" s="113">
        <v>452</v>
      </c>
      <c r="Z92" s="108">
        <f t="shared" si="6"/>
        <v>1.5599816391541586E-3</v>
      </c>
      <c r="AA92" s="387"/>
      <c r="AB92" s="408"/>
    </row>
    <row r="93" spans="1:28" ht="15" customHeight="1" x14ac:dyDescent="0.25">
      <c r="A93" s="303" t="s">
        <v>115</v>
      </c>
      <c r="B93" s="304"/>
      <c r="C93" s="304"/>
      <c r="D93" s="304"/>
      <c r="E93" s="304"/>
      <c r="F93" s="304"/>
      <c r="G93" s="304"/>
      <c r="H93" s="304"/>
      <c r="I93" s="304"/>
      <c r="J93" s="304"/>
      <c r="K93" s="304"/>
      <c r="L93" s="417"/>
      <c r="M93" s="135">
        <v>17</v>
      </c>
      <c r="N93" s="108">
        <f t="shared" si="4"/>
        <v>3.3644711842938568E-4</v>
      </c>
      <c r="O93" s="387"/>
      <c r="P93" s="408"/>
      <c r="Q93" s="113">
        <v>37</v>
      </c>
      <c r="R93" s="108">
        <f t="shared" si="5"/>
        <v>2.8543876567020253E-4</v>
      </c>
      <c r="S93" s="387"/>
      <c r="T93" s="408"/>
      <c r="U93" s="135">
        <f>'2014'!M405</f>
        <v>60</v>
      </c>
      <c r="V93" s="108">
        <f>'2014'!N405</f>
        <v>2.8413395969086226E-4</v>
      </c>
      <c r="W93" s="387">
        <f>'2014'!O405</f>
        <v>0</v>
      </c>
      <c r="X93" s="408">
        <f>'2014'!P405</f>
        <v>0</v>
      </c>
      <c r="Y93" s="113">
        <v>79</v>
      </c>
      <c r="Z93" s="108">
        <f t="shared" si="6"/>
        <v>2.7265165817074897E-4</v>
      </c>
      <c r="AA93" s="387"/>
      <c r="AB93" s="408"/>
    </row>
    <row r="94" spans="1:28" ht="15" customHeight="1" x14ac:dyDescent="0.25">
      <c r="A94" s="303" t="s">
        <v>116</v>
      </c>
      <c r="B94" s="304"/>
      <c r="C94" s="304"/>
      <c r="D94" s="304"/>
      <c r="E94" s="304"/>
      <c r="F94" s="304"/>
      <c r="G94" s="304"/>
      <c r="H94" s="304"/>
      <c r="I94" s="304"/>
      <c r="J94" s="304"/>
      <c r="K94" s="304"/>
      <c r="L94" s="417"/>
      <c r="M94" s="135">
        <v>0</v>
      </c>
      <c r="N94" s="108">
        <f t="shared" si="4"/>
        <v>0</v>
      </c>
      <c r="O94" s="387"/>
      <c r="P94" s="408"/>
      <c r="Q94" s="113">
        <v>1</v>
      </c>
      <c r="R94" s="108">
        <f t="shared" si="5"/>
        <v>7.7145612343297969E-6</v>
      </c>
      <c r="S94" s="387"/>
      <c r="T94" s="408"/>
      <c r="U94" s="135">
        <f>'2014'!M406</f>
        <v>0</v>
      </c>
      <c r="V94" s="108">
        <f>'2014'!N406</f>
        <v>0</v>
      </c>
      <c r="W94" s="387">
        <f>'2014'!O406</f>
        <v>0</v>
      </c>
      <c r="X94" s="408">
        <f>'2014'!P406</f>
        <v>0</v>
      </c>
      <c r="Y94" s="113">
        <v>1</v>
      </c>
      <c r="Z94" s="108">
        <f t="shared" si="6"/>
        <v>3.4512868122879615E-6</v>
      </c>
      <c r="AA94" s="387"/>
      <c r="AB94" s="408"/>
    </row>
    <row r="95" spans="1:28" ht="15" customHeight="1" x14ac:dyDescent="0.25">
      <c r="A95" s="296" t="s">
        <v>147</v>
      </c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409"/>
      <c r="M95" s="127">
        <v>1</v>
      </c>
      <c r="N95" s="108">
        <f t="shared" si="4"/>
        <v>1.9791006966434452E-5</v>
      </c>
      <c r="O95" s="387"/>
      <c r="P95" s="408"/>
      <c r="Q95" s="113">
        <v>0</v>
      </c>
      <c r="R95" s="108">
        <f t="shared" si="5"/>
        <v>0</v>
      </c>
      <c r="S95" s="387"/>
      <c r="T95" s="408"/>
      <c r="U95" s="127">
        <f>'2014'!M407</f>
        <v>1</v>
      </c>
      <c r="V95" s="108">
        <f>'2014'!N407</f>
        <v>4.7355659948477039E-6</v>
      </c>
      <c r="W95" s="387">
        <f>'2014'!O407</f>
        <v>0</v>
      </c>
      <c r="X95" s="408">
        <f>'2014'!P407</f>
        <v>0</v>
      </c>
      <c r="Y95" s="113">
        <v>0</v>
      </c>
      <c r="Z95" s="108">
        <f t="shared" si="6"/>
        <v>0</v>
      </c>
      <c r="AA95" s="387"/>
      <c r="AB95" s="408"/>
    </row>
    <row r="96" spans="1:28" ht="15" customHeight="1" x14ac:dyDescent="0.25">
      <c r="A96" s="303" t="s">
        <v>117</v>
      </c>
      <c r="B96" s="304"/>
      <c r="C96" s="304"/>
      <c r="D96" s="304"/>
      <c r="E96" s="304"/>
      <c r="F96" s="304"/>
      <c r="G96" s="304"/>
      <c r="H96" s="304"/>
      <c r="I96" s="304"/>
      <c r="J96" s="304"/>
      <c r="K96" s="304"/>
      <c r="L96" s="417"/>
      <c r="M96" s="135">
        <v>0</v>
      </c>
      <c r="N96" s="108">
        <f t="shared" si="4"/>
        <v>0</v>
      </c>
      <c r="O96" s="387"/>
      <c r="P96" s="408"/>
      <c r="Q96" s="113">
        <v>2</v>
      </c>
      <c r="R96" s="108">
        <f t="shared" si="5"/>
        <v>1.5429122468659594E-5</v>
      </c>
      <c r="S96" s="387"/>
      <c r="T96" s="408"/>
      <c r="U96" s="135">
        <f>'2014'!M408</f>
        <v>0</v>
      </c>
      <c r="V96" s="108">
        <f>'2014'!N408</f>
        <v>0</v>
      </c>
      <c r="W96" s="387">
        <f>'2014'!O408</f>
        <v>0</v>
      </c>
      <c r="X96" s="408">
        <f>'2014'!P408</f>
        <v>0</v>
      </c>
      <c r="Y96" s="113">
        <v>1</v>
      </c>
      <c r="Z96" s="108">
        <f t="shared" si="6"/>
        <v>3.4512868122879615E-6</v>
      </c>
      <c r="AA96" s="387"/>
      <c r="AB96" s="408"/>
    </row>
    <row r="97" spans="1:28" ht="15" customHeight="1" x14ac:dyDescent="0.25">
      <c r="A97" s="303" t="s">
        <v>118</v>
      </c>
      <c r="B97" s="304"/>
      <c r="C97" s="304"/>
      <c r="D97" s="304"/>
      <c r="E97" s="304"/>
      <c r="F97" s="304"/>
      <c r="G97" s="304"/>
      <c r="H97" s="304"/>
      <c r="I97" s="304"/>
      <c r="J97" s="304"/>
      <c r="K97" s="304"/>
      <c r="L97" s="417"/>
      <c r="M97" s="135">
        <v>14</v>
      </c>
      <c r="N97" s="108">
        <f t="shared" si="4"/>
        <v>2.7707409753008236E-4</v>
      </c>
      <c r="O97" s="387"/>
      <c r="P97" s="408"/>
      <c r="Q97" s="113">
        <v>37</v>
      </c>
      <c r="R97" s="108">
        <f t="shared" si="5"/>
        <v>2.8543876567020253E-4</v>
      </c>
      <c r="S97" s="387"/>
      <c r="T97" s="408"/>
      <c r="U97" s="135">
        <f>'2014'!M409</f>
        <v>52</v>
      </c>
      <c r="V97" s="108">
        <f>'2014'!N409</f>
        <v>2.4624943173208062E-4</v>
      </c>
      <c r="W97" s="387">
        <f>'2014'!O409</f>
        <v>0</v>
      </c>
      <c r="X97" s="408">
        <f>'2014'!P409</f>
        <v>0</v>
      </c>
      <c r="Y97" s="113">
        <v>28</v>
      </c>
      <c r="Z97" s="108">
        <f t="shared" si="6"/>
        <v>9.6636030744062923E-5</v>
      </c>
      <c r="AA97" s="387"/>
      <c r="AB97" s="408"/>
    </row>
    <row r="98" spans="1:28" ht="15" customHeight="1" x14ac:dyDescent="0.25">
      <c r="A98" s="303" t="s">
        <v>119</v>
      </c>
      <c r="B98" s="304"/>
      <c r="C98" s="304"/>
      <c r="D98" s="304"/>
      <c r="E98" s="304"/>
      <c r="F98" s="304"/>
      <c r="G98" s="304"/>
      <c r="H98" s="304"/>
      <c r="I98" s="304"/>
      <c r="J98" s="304"/>
      <c r="K98" s="304"/>
      <c r="L98" s="417"/>
      <c r="M98" s="135">
        <v>1</v>
      </c>
      <c r="N98" s="108">
        <f t="shared" si="4"/>
        <v>1.9791006966434452E-5</v>
      </c>
      <c r="O98" s="387"/>
      <c r="P98" s="408"/>
      <c r="Q98" s="113">
        <v>1</v>
      </c>
      <c r="R98" s="108">
        <f t="shared" si="5"/>
        <v>7.7145612343297969E-6</v>
      </c>
      <c r="S98" s="387"/>
      <c r="T98" s="408"/>
      <c r="U98" s="135">
        <f>'2014'!M410</f>
        <v>1</v>
      </c>
      <c r="V98" s="108">
        <f>'2014'!N410</f>
        <v>4.7355659948477039E-6</v>
      </c>
      <c r="W98" s="387">
        <f>'2014'!O410</f>
        <v>0</v>
      </c>
      <c r="X98" s="408">
        <f>'2014'!P410</f>
        <v>0</v>
      </c>
      <c r="Y98" s="113">
        <v>6</v>
      </c>
      <c r="Z98" s="108">
        <f t="shared" si="6"/>
        <v>2.070772087372777E-5</v>
      </c>
      <c r="AA98" s="387"/>
      <c r="AB98" s="408"/>
    </row>
    <row r="99" spans="1:28" ht="15" customHeight="1" x14ac:dyDescent="0.25">
      <c r="A99" s="290" t="s">
        <v>144</v>
      </c>
      <c r="B99" s="291"/>
      <c r="C99" s="291"/>
      <c r="D99" s="291"/>
      <c r="E99" s="291"/>
      <c r="F99" s="291"/>
      <c r="G99" s="291"/>
      <c r="H99" s="291"/>
      <c r="I99" s="291"/>
      <c r="J99" s="291"/>
      <c r="K99" s="291"/>
      <c r="L99" s="379"/>
      <c r="M99" s="127">
        <v>1</v>
      </c>
      <c r="N99" s="108">
        <f t="shared" si="4"/>
        <v>1.9791006966434452E-5</v>
      </c>
      <c r="O99" s="387"/>
      <c r="P99" s="408"/>
      <c r="Q99" s="113">
        <v>0</v>
      </c>
      <c r="R99" s="108">
        <f t="shared" si="5"/>
        <v>0</v>
      </c>
      <c r="S99" s="387"/>
      <c r="T99" s="408"/>
      <c r="U99" s="127">
        <f>'2014'!M411</f>
        <v>3</v>
      </c>
      <c r="V99" s="108">
        <f>'2014'!N411</f>
        <v>1.4206697984543113E-5</v>
      </c>
      <c r="W99" s="387">
        <f>'2014'!O411</f>
        <v>0</v>
      </c>
      <c r="X99" s="408">
        <f>'2014'!P411</f>
        <v>0</v>
      </c>
      <c r="Y99" s="113">
        <v>0</v>
      </c>
      <c r="Z99" s="108">
        <f t="shared" si="6"/>
        <v>0</v>
      </c>
      <c r="AA99" s="387"/>
      <c r="AB99" s="408"/>
    </row>
    <row r="100" spans="1:28" ht="15.75" customHeight="1" thickBot="1" x14ac:dyDescent="0.3">
      <c r="A100" s="380" t="s">
        <v>145</v>
      </c>
      <c r="B100" s="381"/>
      <c r="C100" s="381"/>
      <c r="D100" s="381"/>
      <c r="E100" s="381"/>
      <c r="F100" s="381"/>
      <c r="G100" s="381"/>
      <c r="H100" s="381"/>
      <c r="I100" s="381"/>
      <c r="J100" s="381"/>
      <c r="K100" s="381"/>
      <c r="L100" s="382"/>
      <c r="M100" s="136">
        <v>5</v>
      </c>
      <c r="N100" s="115">
        <f t="shared" si="4"/>
        <v>9.8955034832172266E-5</v>
      </c>
      <c r="O100" s="388"/>
      <c r="P100" s="408"/>
      <c r="Q100" s="114">
        <v>0</v>
      </c>
      <c r="R100" s="115">
        <f t="shared" si="5"/>
        <v>0</v>
      </c>
      <c r="S100" s="388"/>
      <c r="T100" s="408"/>
      <c r="U100" s="136">
        <f>'2014'!M412</f>
        <v>9</v>
      </c>
      <c r="V100" s="115">
        <f>'2014'!N412</f>
        <v>4.2620093953629336E-5</v>
      </c>
      <c r="W100" s="388">
        <f>'2014'!O412</f>
        <v>0</v>
      </c>
      <c r="X100" s="408">
        <f>'2014'!P412</f>
        <v>0</v>
      </c>
      <c r="Y100" s="114">
        <v>12</v>
      </c>
      <c r="Z100" s="115"/>
      <c r="AA100" s="388"/>
      <c r="AB100" s="408"/>
    </row>
    <row r="101" spans="1:28" ht="15" customHeight="1" x14ac:dyDescent="0.25">
      <c r="A101" s="429" t="s">
        <v>120</v>
      </c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432"/>
      <c r="M101" s="134">
        <v>21</v>
      </c>
      <c r="N101" s="117">
        <f t="shared" si="4"/>
        <v>4.1561114629512351E-4</v>
      </c>
      <c r="O101" s="386">
        <f>SUM(N101:N115)</f>
        <v>1.4645345155161497E-3</v>
      </c>
      <c r="P101" s="408"/>
      <c r="Q101" s="118">
        <v>58</v>
      </c>
      <c r="R101" s="117">
        <f t="shared" si="5"/>
        <v>4.4744455159112826E-4</v>
      </c>
      <c r="S101" s="386">
        <f>SUM(R101:R115)</f>
        <v>2.3174541947926709E-2</v>
      </c>
      <c r="T101" s="408"/>
      <c r="U101" s="134">
        <f>'2014'!M413</f>
        <v>78</v>
      </c>
      <c r="V101" s="117">
        <f>'2014'!N413</f>
        <v>3.693741475981209E-4</v>
      </c>
      <c r="W101" s="386">
        <f>'2014'!O413</f>
        <v>3.7008448249734795E-2</v>
      </c>
      <c r="X101" s="408">
        <f>'2014'!P413</f>
        <v>0</v>
      </c>
      <c r="Y101" s="118">
        <v>59</v>
      </c>
      <c r="Z101" s="117">
        <f t="shared" ref="Z101:Z117" si="7">Y101/Y$118</f>
        <v>2.0362592192498972E-4</v>
      </c>
      <c r="AA101" s="386">
        <f>SUM(Z101:Z115)</f>
        <v>1.8899246584088876E-2</v>
      </c>
      <c r="AB101" s="408"/>
    </row>
    <row r="102" spans="1:28" ht="15.75" customHeight="1" x14ac:dyDescent="0.25">
      <c r="A102" s="303" t="s">
        <v>121</v>
      </c>
      <c r="B102" s="304"/>
      <c r="C102" s="304"/>
      <c r="D102" s="304"/>
      <c r="E102" s="304"/>
      <c r="F102" s="304"/>
      <c r="G102" s="304"/>
      <c r="H102" s="304"/>
      <c r="I102" s="304"/>
      <c r="J102" s="304"/>
      <c r="K102" s="304"/>
      <c r="L102" s="417"/>
      <c r="M102" s="135">
        <v>7</v>
      </c>
      <c r="N102" s="108">
        <f t="shared" si="4"/>
        <v>1.3853704876504118E-4</v>
      </c>
      <c r="O102" s="387"/>
      <c r="P102" s="408"/>
      <c r="Q102" s="113">
        <v>2680</v>
      </c>
      <c r="R102" s="108">
        <f t="shared" si="5"/>
        <v>2.0675024108003856E-2</v>
      </c>
      <c r="S102" s="387"/>
      <c r="T102" s="408"/>
      <c r="U102" s="135">
        <f>'2014'!M414</f>
        <v>7184</v>
      </c>
      <c r="V102" s="108">
        <f>'2014'!N414</f>
        <v>3.4020306106985906E-2</v>
      </c>
      <c r="W102" s="387">
        <f>'2014'!O414</f>
        <v>0</v>
      </c>
      <c r="X102" s="408">
        <f>'2014'!P414</f>
        <v>0</v>
      </c>
      <c r="Y102" s="113">
        <v>523</v>
      </c>
      <c r="Z102" s="108">
        <f t="shared" si="7"/>
        <v>1.805023002826604E-3</v>
      </c>
      <c r="AA102" s="387"/>
      <c r="AB102" s="408"/>
    </row>
    <row r="103" spans="1:28" ht="15" customHeight="1" x14ac:dyDescent="0.25">
      <c r="A103" s="303" t="s">
        <v>122</v>
      </c>
      <c r="B103" s="304"/>
      <c r="C103" s="304"/>
      <c r="D103" s="304"/>
      <c r="E103" s="304"/>
      <c r="F103" s="304"/>
      <c r="G103" s="304"/>
      <c r="H103" s="304"/>
      <c r="I103" s="304"/>
      <c r="J103" s="304"/>
      <c r="K103" s="304"/>
      <c r="L103" s="417"/>
      <c r="M103" s="135">
        <v>1</v>
      </c>
      <c r="N103" s="108">
        <f t="shared" si="4"/>
        <v>1.9791006966434452E-5</v>
      </c>
      <c r="O103" s="387"/>
      <c r="P103" s="408"/>
      <c r="Q103" s="113">
        <v>3</v>
      </c>
      <c r="R103" s="108">
        <f t="shared" si="5"/>
        <v>2.3143683702989391E-5</v>
      </c>
      <c r="S103" s="387"/>
      <c r="T103" s="408"/>
      <c r="U103" s="135">
        <f>'2014'!M415</f>
        <v>4</v>
      </c>
      <c r="V103" s="108">
        <f>'2014'!N415</f>
        <v>1.8942263979390816E-5</v>
      </c>
      <c r="W103" s="387">
        <f>'2014'!O415</f>
        <v>0</v>
      </c>
      <c r="X103" s="408">
        <f>'2014'!P415</f>
        <v>0</v>
      </c>
      <c r="Y103" s="113">
        <v>2</v>
      </c>
      <c r="Z103" s="108">
        <f t="shared" si="7"/>
        <v>6.9025736245759229E-6</v>
      </c>
      <c r="AA103" s="387"/>
      <c r="AB103" s="408"/>
    </row>
    <row r="104" spans="1:28" ht="15" customHeight="1" x14ac:dyDescent="0.25">
      <c r="A104" s="303" t="s">
        <v>123</v>
      </c>
      <c r="B104" s="304"/>
      <c r="C104" s="304"/>
      <c r="D104" s="304"/>
      <c r="E104" s="304"/>
      <c r="F104" s="304"/>
      <c r="G104" s="304"/>
      <c r="H104" s="304"/>
      <c r="I104" s="304"/>
      <c r="J104" s="304"/>
      <c r="K104" s="304"/>
      <c r="L104" s="417"/>
      <c r="M104" s="135">
        <v>17</v>
      </c>
      <c r="N104" s="108">
        <f t="shared" si="4"/>
        <v>3.3644711842938568E-4</v>
      </c>
      <c r="O104" s="387"/>
      <c r="P104" s="408"/>
      <c r="Q104" s="113">
        <v>91</v>
      </c>
      <c r="R104" s="108">
        <f t="shared" si="5"/>
        <v>7.0202507232401158E-4</v>
      </c>
      <c r="S104" s="387"/>
      <c r="T104" s="408"/>
      <c r="U104" s="135">
        <f>'2014'!M416</f>
        <v>205</v>
      </c>
      <c r="V104" s="108">
        <f>'2014'!N416</f>
        <v>9.7079102894377938E-4</v>
      </c>
      <c r="W104" s="387">
        <f>'2014'!O416</f>
        <v>0</v>
      </c>
      <c r="X104" s="408">
        <f>'2014'!P416</f>
        <v>0</v>
      </c>
      <c r="Y104" s="113">
        <v>254</v>
      </c>
      <c r="Z104" s="108">
        <f t="shared" si="7"/>
        <v>8.766268503211422E-4</v>
      </c>
      <c r="AA104" s="387"/>
      <c r="AB104" s="408"/>
    </row>
    <row r="105" spans="1:28" ht="15" customHeight="1" x14ac:dyDescent="0.25">
      <c r="A105" s="303" t="s">
        <v>124</v>
      </c>
      <c r="B105" s="304"/>
      <c r="C105" s="304"/>
      <c r="D105" s="304"/>
      <c r="E105" s="304"/>
      <c r="F105" s="304"/>
      <c r="G105" s="304"/>
      <c r="H105" s="304"/>
      <c r="I105" s="304"/>
      <c r="J105" s="304"/>
      <c r="K105" s="304"/>
      <c r="L105" s="417"/>
      <c r="M105" s="135">
        <v>10</v>
      </c>
      <c r="N105" s="108">
        <f t="shared" si="4"/>
        <v>1.9791006966434453E-4</v>
      </c>
      <c r="O105" s="387"/>
      <c r="P105" s="408"/>
      <c r="Q105" s="113">
        <v>76</v>
      </c>
      <c r="R105" s="108">
        <f t="shared" si="5"/>
        <v>5.8630665380906459E-4</v>
      </c>
      <c r="S105" s="387"/>
      <c r="T105" s="408"/>
      <c r="U105" s="135">
        <f>'2014'!M417</f>
        <v>67</v>
      </c>
      <c r="V105" s="108">
        <f>'2014'!N417</f>
        <v>3.1728292165479616E-4</v>
      </c>
      <c r="W105" s="387">
        <f>'2014'!O417</f>
        <v>0</v>
      </c>
      <c r="X105" s="408">
        <f>'2014'!P417</f>
        <v>0</v>
      </c>
      <c r="Y105" s="113">
        <v>81</v>
      </c>
      <c r="Z105" s="108">
        <f t="shared" si="7"/>
        <v>2.7955423179532491E-4</v>
      </c>
      <c r="AA105" s="387"/>
      <c r="AB105" s="408"/>
    </row>
    <row r="106" spans="1:28" ht="15" customHeight="1" x14ac:dyDescent="0.25">
      <c r="A106" s="303" t="s">
        <v>125</v>
      </c>
      <c r="B106" s="304"/>
      <c r="C106" s="304"/>
      <c r="D106" s="304"/>
      <c r="E106" s="304"/>
      <c r="F106" s="304"/>
      <c r="G106" s="304"/>
      <c r="H106" s="304"/>
      <c r="I106" s="304"/>
      <c r="J106" s="304"/>
      <c r="K106" s="304"/>
      <c r="L106" s="417"/>
      <c r="M106" s="135">
        <v>0</v>
      </c>
      <c r="N106" s="108">
        <f t="shared" si="4"/>
        <v>0</v>
      </c>
      <c r="O106" s="387"/>
      <c r="P106" s="408"/>
      <c r="Q106" s="113">
        <v>33</v>
      </c>
      <c r="R106" s="108">
        <f t="shared" si="5"/>
        <v>2.5458052073288332E-4</v>
      </c>
      <c r="S106" s="387"/>
      <c r="T106" s="408"/>
      <c r="U106" s="135">
        <f>'2014'!M418</f>
        <v>109</v>
      </c>
      <c r="V106" s="108">
        <f>'2014'!N418</f>
        <v>5.1617669343839972E-4</v>
      </c>
      <c r="W106" s="387">
        <f>'2014'!O418</f>
        <v>0</v>
      </c>
      <c r="X106" s="408">
        <f>'2014'!P418</f>
        <v>0</v>
      </c>
      <c r="Y106" s="113">
        <v>107</v>
      </c>
      <c r="Z106" s="108">
        <f t="shared" si="7"/>
        <v>3.6928768891481191E-4</v>
      </c>
      <c r="AA106" s="387"/>
      <c r="AB106" s="408"/>
    </row>
    <row r="107" spans="1:28" ht="15" customHeight="1" x14ac:dyDescent="0.25">
      <c r="A107" s="303" t="s">
        <v>126</v>
      </c>
      <c r="B107" s="304"/>
      <c r="C107" s="304"/>
      <c r="D107" s="304"/>
      <c r="E107" s="304"/>
      <c r="F107" s="304"/>
      <c r="G107" s="304"/>
      <c r="H107" s="304"/>
      <c r="I107" s="304"/>
      <c r="J107" s="304"/>
      <c r="K107" s="304"/>
      <c r="L107" s="417"/>
      <c r="M107" s="135">
        <v>9</v>
      </c>
      <c r="N107" s="108">
        <f t="shared" si="4"/>
        <v>1.7811906269791006E-4</v>
      </c>
      <c r="O107" s="387"/>
      <c r="P107" s="408"/>
      <c r="Q107" s="113">
        <v>29</v>
      </c>
      <c r="R107" s="108">
        <f t="shared" si="5"/>
        <v>2.2372227579556413E-4</v>
      </c>
      <c r="S107" s="387"/>
      <c r="T107" s="408"/>
      <c r="U107" s="135">
        <f>'2014'!M419</f>
        <v>96</v>
      </c>
      <c r="V107" s="108">
        <f>'2014'!N419</f>
        <v>4.546143355053796E-4</v>
      </c>
      <c r="W107" s="387">
        <f>'2014'!O419</f>
        <v>0</v>
      </c>
      <c r="X107" s="408">
        <f>'2014'!P419</f>
        <v>0</v>
      </c>
      <c r="Y107" s="113">
        <v>224</v>
      </c>
      <c r="Z107" s="108">
        <f t="shared" si="7"/>
        <v>7.7308824595250338E-4</v>
      </c>
      <c r="AA107" s="387"/>
      <c r="AB107" s="408"/>
    </row>
    <row r="108" spans="1:28" ht="15" customHeight="1" x14ac:dyDescent="0.25">
      <c r="A108" s="303" t="s">
        <v>127</v>
      </c>
      <c r="B108" s="304"/>
      <c r="C108" s="304"/>
      <c r="D108" s="304"/>
      <c r="E108" s="304"/>
      <c r="F108" s="304"/>
      <c r="G108" s="304"/>
      <c r="H108" s="304"/>
      <c r="I108" s="304"/>
      <c r="J108" s="304"/>
      <c r="K108" s="304"/>
      <c r="L108" s="417"/>
      <c r="M108" s="135">
        <v>1</v>
      </c>
      <c r="N108" s="108">
        <f t="shared" si="4"/>
        <v>1.9791006966434452E-5</v>
      </c>
      <c r="O108" s="387"/>
      <c r="P108" s="408"/>
      <c r="Q108" s="113">
        <v>24</v>
      </c>
      <c r="R108" s="108">
        <f t="shared" si="5"/>
        <v>1.8514946962391513E-4</v>
      </c>
      <c r="S108" s="387"/>
      <c r="T108" s="408"/>
      <c r="U108" s="135">
        <f>'2014'!M420</f>
        <v>35</v>
      </c>
      <c r="V108" s="108">
        <f>'2014'!N420</f>
        <v>1.6574480981966966E-4</v>
      </c>
      <c r="W108" s="387">
        <f>'2014'!O420</f>
        <v>0</v>
      </c>
      <c r="X108" s="408">
        <f>'2014'!P420</f>
        <v>0</v>
      </c>
      <c r="Y108" s="113">
        <v>93</v>
      </c>
      <c r="Z108" s="108">
        <f t="shared" si="7"/>
        <v>3.2096967354278041E-4</v>
      </c>
      <c r="AA108" s="387"/>
      <c r="AB108" s="408"/>
    </row>
    <row r="109" spans="1:28" ht="15" customHeight="1" x14ac:dyDescent="0.25">
      <c r="A109" s="303" t="s">
        <v>128</v>
      </c>
      <c r="B109" s="304"/>
      <c r="C109" s="304"/>
      <c r="D109" s="304"/>
      <c r="E109" s="304"/>
      <c r="F109" s="304"/>
      <c r="G109" s="304"/>
      <c r="H109" s="304"/>
      <c r="I109" s="304"/>
      <c r="J109" s="304"/>
      <c r="K109" s="304"/>
      <c r="L109" s="417"/>
      <c r="M109" s="135">
        <v>2</v>
      </c>
      <c r="N109" s="108">
        <f t="shared" si="4"/>
        <v>3.9582013932868905E-5</v>
      </c>
      <c r="O109" s="387"/>
      <c r="P109" s="408"/>
      <c r="Q109" s="113">
        <v>1</v>
      </c>
      <c r="R109" s="108">
        <f t="shared" si="5"/>
        <v>7.7145612343297969E-6</v>
      </c>
      <c r="S109" s="387"/>
      <c r="T109" s="408"/>
      <c r="U109" s="135">
        <f>'2014'!M421</f>
        <v>3</v>
      </c>
      <c r="V109" s="108">
        <f>'2014'!N421</f>
        <v>1.4206697984543113E-5</v>
      </c>
      <c r="W109" s="387">
        <f>'2014'!O421</f>
        <v>0</v>
      </c>
      <c r="X109" s="408">
        <f>'2014'!P421</f>
        <v>0</v>
      </c>
      <c r="Y109" s="113">
        <v>3</v>
      </c>
      <c r="Z109" s="108">
        <f t="shared" si="7"/>
        <v>1.0353860436863885E-5</v>
      </c>
      <c r="AA109" s="387"/>
      <c r="AB109" s="408"/>
    </row>
    <row r="110" spans="1:28" ht="15" customHeight="1" x14ac:dyDescent="0.25">
      <c r="A110" s="303" t="s">
        <v>133</v>
      </c>
      <c r="B110" s="304"/>
      <c r="C110" s="304"/>
      <c r="D110" s="304"/>
      <c r="E110" s="304"/>
      <c r="F110" s="304"/>
      <c r="G110" s="304"/>
      <c r="H110" s="304"/>
      <c r="I110" s="304"/>
      <c r="J110" s="304"/>
      <c r="K110" s="304"/>
      <c r="L110" s="417"/>
      <c r="M110" s="135">
        <v>2</v>
      </c>
      <c r="N110" s="108">
        <f t="shared" si="4"/>
        <v>3.9582013932868905E-5</v>
      </c>
      <c r="O110" s="387"/>
      <c r="P110" s="408"/>
      <c r="Q110" s="113">
        <v>2</v>
      </c>
      <c r="R110" s="108">
        <f t="shared" si="5"/>
        <v>1.5429122468659594E-5</v>
      </c>
      <c r="S110" s="387"/>
      <c r="T110" s="408"/>
      <c r="U110" s="135">
        <f>'2014'!M422</f>
        <v>4</v>
      </c>
      <c r="V110" s="108">
        <f>'2014'!N422</f>
        <v>1.8942263979390816E-5</v>
      </c>
      <c r="W110" s="387">
        <f>'2014'!O422</f>
        <v>0</v>
      </c>
      <c r="X110" s="408">
        <f>'2014'!P422</f>
        <v>0</v>
      </c>
      <c r="Y110" s="113">
        <v>3</v>
      </c>
      <c r="Z110" s="108">
        <f t="shared" si="7"/>
        <v>1.0353860436863885E-5</v>
      </c>
      <c r="AA110" s="387"/>
      <c r="AB110" s="408"/>
    </row>
    <row r="111" spans="1:28" ht="15" customHeight="1" x14ac:dyDescent="0.25">
      <c r="A111" s="389" t="s">
        <v>178</v>
      </c>
      <c r="B111" s="390"/>
      <c r="C111" s="390"/>
      <c r="D111" s="390"/>
      <c r="E111" s="390"/>
      <c r="F111" s="390"/>
      <c r="G111" s="390"/>
      <c r="H111" s="390"/>
      <c r="I111" s="390"/>
      <c r="J111" s="390"/>
      <c r="K111" s="390"/>
      <c r="L111" s="391"/>
      <c r="M111" s="135">
        <v>0</v>
      </c>
      <c r="N111" s="108">
        <f t="shared" si="4"/>
        <v>0</v>
      </c>
      <c r="O111" s="387"/>
      <c r="P111" s="408"/>
      <c r="Q111" s="113"/>
      <c r="R111" s="108">
        <f t="shared" si="5"/>
        <v>0</v>
      </c>
      <c r="S111" s="387"/>
      <c r="T111" s="408"/>
      <c r="U111" s="135">
        <f>'2014'!M423</f>
        <v>25</v>
      </c>
      <c r="V111" s="108">
        <f>'2014'!N423</f>
        <v>1.183891498711926E-4</v>
      </c>
      <c r="W111" s="387">
        <f>'2014'!O423</f>
        <v>0</v>
      </c>
      <c r="X111" s="408">
        <f>'2014'!P423</f>
        <v>0</v>
      </c>
      <c r="Y111" s="113">
        <v>3</v>
      </c>
      <c r="Z111" s="108">
        <f t="shared" si="7"/>
        <v>1.0353860436863885E-5</v>
      </c>
      <c r="AA111" s="387"/>
      <c r="AB111" s="408"/>
    </row>
    <row r="112" spans="1:28" ht="15" customHeight="1" x14ac:dyDescent="0.25">
      <c r="A112" s="296" t="s">
        <v>148</v>
      </c>
      <c r="B112" s="291"/>
      <c r="C112" s="291"/>
      <c r="D112" s="291"/>
      <c r="E112" s="291"/>
      <c r="F112" s="291"/>
      <c r="G112" s="291"/>
      <c r="H112" s="291"/>
      <c r="I112" s="291"/>
      <c r="J112" s="291"/>
      <c r="K112" s="291"/>
      <c r="L112" s="379"/>
      <c r="M112" s="127">
        <v>1</v>
      </c>
      <c r="N112" s="108">
        <f t="shared" si="4"/>
        <v>1.9791006966434452E-5</v>
      </c>
      <c r="O112" s="387"/>
      <c r="P112" s="408"/>
      <c r="Q112" s="113">
        <v>0</v>
      </c>
      <c r="R112" s="108"/>
      <c r="S112" s="387"/>
      <c r="T112" s="408"/>
      <c r="U112" s="127">
        <f>'2014'!M424</f>
        <v>1</v>
      </c>
      <c r="V112" s="108">
        <f>'2014'!N424</f>
        <v>4.7355659948477039E-6</v>
      </c>
      <c r="W112" s="387">
        <f>'2014'!O424</f>
        <v>0</v>
      </c>
      <c r="X112" s="408">
        <f>'2014'!P424</f>
        <v>0</v>
      </c>
      <c r="Y112" s="113">
        <v>10</v>
      </c>
      <c r="Z112" s="108">
        <f t="shared" si="7"/>
        <v>3.4512868122879617E-5</v>
      </c>
      <c r="AA112" s="387"/>
      <c r="AB112" s="408"/>
    </row>
    <row r="113" spans="1:28" ht="15" customHeight="1" x14ac:dyDescent="0.25">
      <c r="A113" s="303" t="s">
        <v>129</v>
      </c>
      <c r="B113" s="304"/>
      <c r="C113" s="304"/>
      <c r="D113" s="304"/>
      <c r="E113" s="304"/>
      <c r="F113" s="304"/>
      <c r="G113" s="304"/>
      <c r="H113" s="304"/>
      <c r="I113" s="304"/>
      <c r="J113" s="304"/>
      <c r="K113" s="304"/>
      <c r="L113" s="417"/>
      <c r="M113" s="135">
        <v>3</v>
      </c>
      <c r="N113" s="108">
        <f t="shared" si="4"/>
        <v>5.9373020899303354E-5</v>
      </c>
      <c r="O113" s="387"/>
      <c r="P113" s="408"/>
      <c r="Q113" s="113">
        <v>6</v>
      </c>
      <c r="R113" s="108">
        <f>Q113/Q$118</f>
        <v>4.6287367405978782E-5</v>
      </c>
      <c r="S113" s="387"/>
      <c r="T113" s="408"/>
      <c r="U113" s="135">
        <f>'2014'!M425</f>
        <v>2</v>
      </c>
      <c r="V113" s="108">
        <f>'2014'!N425</f>
        <v>9.4711319896954078E-6</v>
      </c>
      <c r="W113" s="387">
        <f>'2014'!O425</f>
        <v>0</v>
      </c>
      <c r="X113" s="408">
        <f>'2014'!P425</f>
        <v>0</v>
      </c>
      <c r="Y113" s="113">
        <v>33</v>
      </c>
      <c r="Z113" s="108">
        <f t="shared" si="7"/>
        <v>1.1389246480550273E-4</v>
      </c>
      <c r="AA113" s="387"/>
      <c r="AB113" s="408"/>
    </row>
    <row r="114" spans="1:28" ht="15" customHeight="1" thickBot="1" x14ac:dyDescent="0.3">
      <c r="A114" s="392" t="s">
        <v>203</v>
      </c>
      <c r="B114" s="393"/>
      <c r="C114" s="393"/>
      <c r="D114" s="393"/>
      <c r="E114" s="393"/>
      <c r="F114" s="393"/>
      <c r="G114" s="393"/>
      <c r="H114" s="393"/>
      <c r="I114" s="393"/>
      <c r="J114" s="393"/>
      <c r="K114" s="393"/>
      <c r="L114" s="394"/>
      <c r="M114" s="279"/>
      <c r="N114" s="280"/>
      <c r="O114" s="422"/>
      <c r="P114" s="408"/>
      <c r="Q114" s="281"/>
      <c r="R114" s="280"/>
      <c r="S114" s="422"/>
      <c r="T114" s="408"/>
      <c r="U114" s="279"/>
      <c r="V114" s="280"/>
      <c r="W114" s="422"/>
      <c r="X114" s="408"/>
      <c r="Y114" s="281">
        <v>4081</v>
      </c>
      <c r="Z114" s="108">
        <f t="shared" si="7"/>
        <v>1.4084701480947171E-2</v>
      </c>
      <c r="AA114" s="422"/>
      <c r="AB114" s="408"/>
    </row>
    <row r="115" spans="1:28" ht="15.75" customHeight="1" thickBot="1" x14ac:dyDescent="0.3">
      <c r="A115" s="294" t="s">
        <v>130</v>
      </c>
      <c r="B115" s="295"/>
      <c r="C115" s="295"/>
      <c r="D115" s="295"/>
      <c r="E115" s="295"/>
      <c r="F115" s="295"/>
      <c r="G115" s="295"/>
      <c r="H115" s="295"/>
      <c r="I115" s="295"/>
      <c r="J115" s="295"/>
      <c r="K115" s="295"/>
      <c r="L115" s="433"/>
      <c r="M115" s="137">
        <v>0</v>
      </c>
      <c r="N115" s="115">
        <f>M115/M$118</f>
        <v>0</v>
      </c>
      <c r="O115" s="388"/>
      <c r="P115" s="408"/>
      <c r="Q115" s="114">
        <v>1</v>
      </c>
      <c r="R115" s="115">
        <f>Q115/Q$118</f>
        <v>7.7145612343297969E-6</v>
      </c>
      <c r="S115" s="388"/>
      <c r="T115" s="408"/>
      <c r="U115" s="137">
        <f>'2014'!M426</f>
        <v>2</v>
      </c>
      <c r="V115" s="115">
        <f>'2014'!N426</f>
        <v>9.4711319896954078E-6</v>
      </c>
      <c r="W115" s="388">
        <f>'2014'!O426</f>
        <v>0</v>
      </c>
      <c r="X115" s="408">
        <f>'2014'!P426</f>
        <v>0</v>
      </c>
      <c r="Y115" s="114">
        <v>0</v>
      </c>
      <c r="Z115" s="115">
        <f t="shared" si="7"/>
        <v>0</v>
      </c>
      <c r="AA115" s="388"/>
      <c r="AB115" s="408"/>
    </row>
    <row r="116" spans="1:28" ht="15.75" customHeight="1" thickBot="1" x14ac:dyDescent="0.3">
      <c r="A116" s="434" t="s">
        <v>131</v>
      </c>
      <c r="B116" s="434"/>
      <c r="C116" s="434"/>
      <c r="D116" s="434"/>
      <c r="E116" s="434"/>
      <c r="F116" s="434"/>
      <c r="G116" s="434"/>
      <c r="H116" s="434"/>
      <c r="I116" s="434"/>
      <c r="J116" s="434"/>
      <c r="K116" s="434"/>
      <c r="L116" s="435"/>
      <c r="M116" s="119">
        <v>7918</v>
      </c>
      <c r="N116" s="120">
        <f>M116/M$118</f>
        <v>0.15670519316022799</v>
      </c>
      <c r="O116" s="121">
        <f>N116</f>
        <v>0.15670519316022799</v>
      </c>
      <c r="P116" s="408"/>
      <c r="Q116" s="122">
        <v>18261</v>
      </c>
      <c r="R116" s="120">
        <f>Q116/Q$118</f>
        <v>0.14087560270009644</v>
      </c>
      <c r="S116" s="121">
        <f>R116</f>
        <v>0.14087560270009644</v>
      </c>
      <c r="T116" s="408"/>
      <c r="U116" s="119">
        <f>'2014'!M427</f>
        <v>25769</v>
      </c>
      <c r="V116" s="120">
        <f>'2014'!N427</f>
        <v>0.12203080012123049</v>
      </c>
      <c r="W116" s="121">
        <f>'2014'!O427</f>
        <v>0.12203080012123049</v>
      </c>
      <c r="X116" s="408">
        <f>'2014'!P427</f>
        <v>0</v>
      </c>
      <c r="Y116" s="122">
        <v>29985</v>
      </c>
      <c r="Z116" s="120">
        <f t="shared" si="7"/>
        <v>0.10348683506645452</v>
      </c>
      <c r="AA116" s="121">
        <f>Z116</f>
        <v>0.10348683506645452</v>
      </c>
      <c r="AB116" s="408"/>
    </row>
    <row r="117" spans="1:28" ht="15.75" customHeight="1" thickBot="1" x14ac:dyDescent="0.3">
      <c r="A117" s="436" t="s">
        <v>132</v>
      </c>
      <c r="B117" s="373"/>
      <c r="C117" s="373"/>
      <c r="D117" s="373"/>
      <c r="E117" s="373"/>
      <c r="F117" s="373"/>
      <c r="G117" s="373"/>
      <c r="H117" s="373"/>
      <c r="I117" s="373"/>
      <c r="J117" s="373"/>
      <c r="K117" s="373"/>
      <c r="L117" s="437"/>
      <c r="M117" s="119"/>
      <c r="N117" s="120"/>
      <c r="O117" s="125"/>
      <c r="P117" s="408"/>
      <c r="Q117" s="122">
        <v>5</v>
      </c>
      <c r="R117" s="120">
        <f>Q117/Q$118</f>
        <v>3.8572806171648985E-5</v>
      </c>
      <c r="S117" s="121">
        <f>R117</f>
        <v>3.8572806171648985E-5</v>
      </c>
      <c r="T117" s="421"/>
      <c r="U117" s="119">
        <f>'2014'!M428</f>
        <v>3</v>
      </c>
      <c r="V117" s="120">
        <f>'2014'!N428</f>
        <v>1.4206697984543113E-5</v>
      </c>
      <c r="W117" s="125">
        <f>'2014'!O428</f>
        <v>0</v>
      </c>
      <c r="X117" s="408">
        <f>'2014'!P428</f>
        <v>0</v>
      </c>
      <c r="Y117" s="122">
        <v>0</v>
      </c>
      <c r="Z117" s="120">
        <f t="shared" si="7"/>
        <v>0</v>
      </c>
      <c r="AA117" s="121">
        <f>Z117</f>
        <v>0</v>
      </c>
      <c r="AB117" s="421"/>
    </row>
    <row r="118" spans="1:28" ht="15.75" customHeight="1" thickBot="1" x14ac:dyDescent="0.25">
      <c r="A118" s="284" t="s">
        <v>134</v>
      </c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378"/>
      <c r="M118" s="123">
        <f>SUM(M83:M117)</f>
        <v>50528</v>
      </c>
      <c r="N118" s="124">
        <f>SUM(N83:N117)</f>
        <v>0.99999999999999989</v>
      </c>
      <c r="O118" s="124">
        <f t="shared" ref="O118:P118" si="8">SUM(O83:O117)</f>
        <v>1</v>
      </c>
      <c r="P118" s="111">
        <f t="shared" si="8"/>
        <v>1</v>
      </c>
      <c r="Q118" s="107">
        <f>SUM(Q83:Q117)</f>
        <v>129625</v>
      </c>
      <c r="R118" s="112">
        <f>SUM(R83:R117)</f>
        <v>1.0000000000000002</v>
      </c>
      <c r="S118" s="112">
        <f t="shared" ref="S118:T118" si="9">SUM(S83:S117)</f>
        <v>1</v>
      </c>
      <c r="T118" s="112">
        <f t="shared" si="9"/>
        <v>0.99999999999999989</v>
      </c>
      <c r="U118" s="123">
        <f>'2014'!M429</f>
        <v>211168</v>
      </c>
      <c r="V118" s="124">
        <f>'2014'!N429</f>
        <v>1</v>
      </c>
      <c r="W118" s="124">
        <f>'2014'!O429</f>
        <v>0.99998579330201554</v>
      </c>
      <c r="X118" s="111">
        <f>'2014'!P429</f>
        <v>0.99998579330201554</v>
      </c>
      <c r="Y118" s="107">
        <f>SUM(Y83:Y117)</f>
        <v>289747</v>
      </c>
      <c r="Z118" s="112">
        <f>SUM(Z83:Z117)</f>
        <v>0.99995858455825282</v>
      </c>
      <c r="AA118" s="112">
        <f t="shared" ref="AA118:AB118" si="10">SUM(AA83:AA117)</f>
        <v>0.99995858455825259</v>
      </c>
      <c r="AB118" s="112">
        <f t="shared" si="10"/>
        <v>0.99995858455825259</v>
      </c>
    </row>
    <row r="121" spans="1:28" ht="13.5" customHeight="1" thickBot="1" x14ac:dyDescent="0.25">
      <c r="A121" s="446" t="s">
        <v>35</v>
      </c>
      <c r="B121" s="446"/>
      <c r="C121" s="446"/>
      <c r="D121" s="446"/>
      <c r="E121" s="446"/>
      <c r="F121" s="446"/>
      <c r="G121" s="446"/>
      <c r="H121" s="446"/>
      <c r="I121" s="446"/>
      <c r="J121" s="446"/>
      <c r="K121" s="446"/>
      <c r="L121" s="445"/>
      <c r="M121" s="445"/>
    </row>
    <row r="122" spans="1:28" x14ac:dyDescent="0.2">
      <c r="A122" s="83"/>
      <c r="B122" s="83"/>
      <c r="C122" s="83"/>
      <c r="D122" s="83"/>
      <c r="E122" s="83"/>
      <c r="F122" s="440">
        <v>2012</v>
      </c>
      <c r="G122" s="441"/>
      <c r="H122" s="440">
        <v>2013</v>
      </c>
      <c r="I122" s="441"/>
      <c r="J122" s="440">
        <v>2014</v>
      </c>
      <c r="K122" s="441"/>
      <c r="L122" s="440">
        <v>2015</v>
      </c>
      <c r="M122" s="441"/>
    </row>
    <row r="123" spans="1:28" x14ac:dyDescent="0.2">
      <c r="A123" s="360" t="s">
        <v>78</v>
      </c>
      <c r="B123" s="360"/>
      <c r="C123" s="360"/>
      <c r="D123" s="360"/>
      <c r="E123" s="442"/>
      <c r="F123" s="216">
        <v>31901</v>
      </c>
      <c r="G123" s="217">
        <f>F123/F$130</f>
        <v>0.67225102204239895</v>
      </c>
      <c r="H123" s="216">
        <v>80926</v>
      </c>
      <c r="I123" s="217">
        <f>H123/H$130</f>
        <v>0.65163056606812142</v>
      </c>
      <c r="J123" s="216">
        <f>'2014'!F200</f>
        <v>127513</v>
      </c>
      <c r="K123" s="217">
        <f>J123/J$130</f>
        <v>0.61873083343037927</v>
      </c>
      <c r="L123" s="216">
        <v>180128</v>
      </c>
      <c r="M123" s="217">
        <f>L123/L$130</f>
        <v>0.62002140995941746</v>
      </c>
    </row>
    <row r="124" spans="1:28" ht="15" x14ac:dyDescent="0.25">
      <c r="A124" s="443" t="s">
        <v>79</v>
      </c>
      <c r="B124" s="443"/>
      <c r="C124" s="443"/>
      <c r="D124" s="443"/>
      <c r="E124" s="444"/>
      <c r="F124" s="266">
        <v>14248</v>
      </c>
      <c r="G124" s="267">
        <f t="shared" ref="G124:G129" si="11">F124/F$130</f>
        <v>0.30024866186201377</v>
      </c>
      <c r="H124" s="266">
        <v>38251</v>
      </c>
      <c r="I124" s="267">
        <f t="shared" ref="I124:I129" si="12">H124/H$130</f>
        <v>0.30800386504549482</v>
      </c>
      <c r="J124" s="266">
        <f>'2014'!F201</f>
        <v>63498</v>
      </c>
      <c r="K124" s="267">
        <f t="shared" ref="K124:K129" si="13">J124/J$130</f>
        <v>0.30811109817165483</v>
      </c>
      <c r="L124" s="266">
        <v>92004</v>
      </c>
      <c r="M124" s="267">
        <f t="shared" ref="M124:M129" si="14">L124/L$130</f>
        <v>0.31668840936393144</v>
      </c>
    </row>
    <row r="125" spans="1:28" x14ac:dyDescent="0.2">
      <c r="A125" s="360" t="s">
        <v>189</v>
      </c>
      <c r="B125" s="360"/>
      <c r="C125" s="360"/>
      <c r="D125" s="360"/>
      <c r="E125" s="442"/>
      <c r="F125" s="218">
        <v>300</v>
      </c>
      <c r="G125" s="217">
        <f t="shared" si="11"/>
        <v>6.3219117461120241E-3</v>
      </c>
      <c r="H125" s="218">
        <v>726</v>
      </c>
      <c r="I125" s="217">
        <f t="shared" si="12"/>
        <v>5.8458813108945972E-3</v>
      </c>
      <c r="J125" s="216">
        <f>'2014'!F202</f>
        <v>3863</v>
      </c>
      <c r="K125" s="217">
        <f t="shared" si="13"/>
        <v>1.8744419859477505E-2</v>
      </c>
      <c r="L125" s="216">
        <v>4371</v>
      </c>
      <c r="M125" s="217">
        <f t="shared" si="14"/>
        <v>1.504548755847294E-2</v>
      </c>
    </row>
    <row r="126" spans="1:28" ht="15" x14ac:dyDescent="0.25">
      <c r="A126" s="360" t="s">
        <v>190</v>
      </c>
      <c r="B126" s="360"/>
      <c r="C126" s="360"/>
      <c r="D126" s="360"/>
      <c r="E126" s="442"/>
      <c r="F126" s="219">
        <v>443</v>
      </c>
      <c r="G126" s="217">
        <f t="shared" si="11"/>
        <v>9.3353563450920898E-3</v>
      </c>
      <c r="H126" s="219">
        <v>1414</v>
      </c>
      <c r="I126" s="217">
        <f t="shared" si="12"/>
        <v>1.1385779853450358E-2</v>
      </c>
      <c r="J126" s="216">
        <f>'2014'!F203</f>
        <v>6303</v>
      </c>
      <c r="K126" s="217">
        <f t="shared" si="13"/>
        <v>3.0584022359380458E-2</v>
      </c>
      <c r="L126" s="216">
        <v>4156</v>
      </c>
      <c r="M126" s="217">
        <f t="shared" si="14"/>
        <v>1.4305432691149289E-2</v>
      </c>
    </row>
    <row r="127" spans="1:28" ht="15" x14ac:dyDescent="0.25">
      <c r="A127" s="356" t="s">
        <v>191</v>
      </c>
      <c r="B127" s="356"/>
      <c r="C127" s="356"/>
      <c r="D127" s="356"/>
      <c r="E127" s="447"/>
      <c r="F127" s="219">
        <v>101</v>
      </c>
      <c r="G127" s="217">
        <f t="shared" si="11"/>
        <v>2.1283769545243814E-3</v>
      </c>
      <c r="H127" s="219">
        <v>30</v>
      </c>
      <c r="I127" s="217">
        <f t="shared" si="12"/>
        <v>2.4156534342539658E-4</v>
      </c>
      <c r="J127" s="216">
        <f>'2014'!F204</f>
        <v>84</v>
      </c>
      <c r="K127" s="217">
        <f t="shared" si="13"/>
        <v>4.0759287294747876E-4</v>
      </c>
      <c r="L127" s="216">
        <v>108</v>
      </c>
      <c r="M127" s="217">
        <f t="shared" si="14"/>
        <v>3.7174849149281116E-4</v>
      </c>
    </row>
    <row r="128" spans="1:28" ht="15" x14ac:dyDescent="0.25">
      <c r="A128" s="366" t="s">
        <v>192</v>
      </c>
      <c r="B128" s="366"/>
      <c r="C128" s="366"/>
      <c r="D128" s="366"/>
      <c r="E128" s="346"/>
      <c r="F128" s="219">
        <v>460</v>
      </c>
      <c r="G128" s="217">
        <f t="shared" si="11"/>
        <v>9.6935980107051047E-3</v>
      </c>
      <c r="H128" s="219">
        <v>2839</v>
      </c>
      <c r="I128" s="217">
        <f t="shared" si="12"/>
        <v>2.2860133666156697E-2</v>
      </c>
      <c r="J128" s="216">
        <f>'2014'!F205</f>
        <v>4804</v>
      </c>
      <c r="K128" s="217">
        <f t="shared" si="13"/>
        <v>2.331043049571057E-2</v>
      </c>
      <c r="L128">
        <v>9751</v>
      </c>
      <c r="M128" s="217">
        <f t="shared" si="14"/>
        <v>3.3564069819874087E-2</v>
      </c>
    </row>
    <row r="129" spans="1:13" ht="15" x14ac:dyDescent="0.25">
      <c r="A129" s="346" t="s">
        <v>193</v>
      </c>
      <c r="B129" s="364"/>
      <c r="C129" s="364"/>
      <c r="D129" s="364"/>
      <c r="E129" s="364"/>
      <c r="F129" s="219">
        <v>1</v>
      </c>
      <c r="G129" s="217">
        <f t="shared" si="11"/>
        <v>2.1073039153706749E-5</v>
      </c>
      <c r="H129" s="219">
        <v>4</v>
      </c>
      <c r="I129" s="217">
        <f t="shared" si="12"/>
        <v>3.2208712456719543E-5</v>
      </c>
      <c r="J129" s="216">
        <f>'2014'!F206</f>
        <v>23</v>
      </c>
      <c r="K129" s="217">
        <f t="shared" si="13"/>
        <v>1.1160281044990489E-4</v>
      </c>
      <c r="L129">
        <v>1</v>
      </c>
      <c r="M129" s="217">
        <f t="shared" si="14"/>
        <v>3.4421156619704736E-6</v>
      </c>
    </row>
    <row r="130" spans="1:13" ht="13.5" thickBot="1" x14ac:dyDescent="0.25">
      <c r="A130" s="369"/>
      <c r="B130" s="369"/>
      <c r="C130" s="369"/>
      <c r="D130" s="369"/>
      <c r="E130" s="448"/>
      <c r="F130" s="268">
        <f>SUM(F123:F129)</f>
        <v>47454</v>
      </c>
      <c r="G130" s="220"/>
      <c r="H130" s="268">
        <f>SUM(H123:H129)</f>
        <v>124190</v>
      </c>
      <c r="I130" s="220"/>
      <c r="J130" s="268">
        <f>SUM(J123:J129)</f>
        <v>206088</v>
      </c>
      <c r="K130" s="220"/>
      <c r="L130" s="268">
        <f>SUM(L123:L129)</f>
        <v>290519</v>
      </c>
      <c r="M130" s="220"/>
    </row>
    <row r="134" spans="1:13" ht="13.5" thickBot="1" x14ac:dyDescent="0.25">
      <c r="A134" s="307" t="s">
        <v>75</v>
      </c>
      <c r="B134" s="307"/>
      <c r="C134" s="307"/>
      <c r="D134" s="307"/>
      <c r="E134" s="307"/>
      <c r="F134" s="307"/>
      <c r="G134" s="307"/>
      <c r="H134" s="307"/>
      <c r="I134" s="307"/>
      <c r="J134" s="445"/>
      <c r="K134" s="445"/>
    </row>
    <row r="135" spans="1:13" x14ac:dyDescent="0.2">
      <c r="A135" s="82"/>
      <c r="B135" s="82"/>
      <c r="C135" s="82"/>
      <c r="D135" s="438">
        <v>2012</v>
      </c>
      <c r="E135" s="439"/>
      <c r="F135" s="438">
        <v>2013</v>
      </c>
      <c r="G135" s="439"/>
      <c r="H135" s="438">
        <v>2014</v>
      </c>
      <c r="I135" s="439"/>
      <c r="J135" s="438">
        <v>2015</v>
      </c>
      <c r="K135" s="439"/>
    </row>
    <row r="136" spans="1:13" x14ac:dyDescent="0.2">
      <c r="A136" s="331" t="s">
        <v>65</v>
      </c>
      <c r="B136" s="332"/>
      <c r="C136" s="332"/>
      <c r="D136" s="221">
        <v>48398</v>
      </c>
      <c r="E136" s="222">
        <f>D136/D139</f>
        <v>0.95067669763696006</v>
      </c>
      <c r="F136" s="223">
        <v>115412</v>
      </c>
      <c r="G136" s="224">
        <f>F136/F139</f>
        <v>0.89035294117647057</v>
      </c>
      <c r="H136" s="223">
        <f>'2014'!D177</f>
        <v>187888</v>
      </c>
      <c r="I136" s="224">
        <f>H136/H139</f>
        <v>0.88975602363994544</v>
      </c>
      <c r="J136" s="223">
        <v>261944</v>
      </c>
      <c r="K136" s="224">
        <f>J136/J139</f>
        <v>0.90404387275795783</v>
      </c>
    </row>
    <row r="137" spans="1:13" x14ac:dyDescent="0.2">
      <c r="A137" s="331" t="s">
        <v>76</v>
      </c>
      <c r="B137" s="332"/>
      <c r="C137" s="332"/>
      <c r="D137" s="221">
        <v>2503</v>
      </c>
      <c r="E137" s="222">
        <f>D137/D139</f>
        <v>4.9166159225284334E-2</v>
      </c>
      <c r="F137" s="223">
        <v>14164</v>
      </c>
      <c r="G137" s="224">
        <f>F137/F139</f>
        <v>0.10926904532304725</v>
      </c>
      <c r="H137" s="223">
        <f>'2014'!D178</f>
        <v>23234</v>
      </c>
      <c r="I137" s="224">
        <f>H137/H139</f>
        <v>0.11002614032429156</v>
      </c>
      <c r="J137" s="223">
        <v>27704</v>
      </c>
      <c r="K137" s="224">
        <f>J137/J139</f>
        <v>9.5614449847625682E-2</v>
      </c>
    </row>
    <row r="138" spans="1:13" x14ac:dyDescent="0.2">
      <c r="A138" s="331" t="s">
        <v>64</v>
      </c>
      <c r="B138" s="332"/>
      <c r="C138" s="332"/>
      <c r="D138" s="221">
        <v>8</v>
      </c>
      <c r="E138" s="222">
        <f>D138/D139</f>
        <v>1.5714313775560314E-4</v>
      </c>
      <c r="F138" s="223">
        <v>49</v>
      </c>
      <c r="G138" s="224">
        <f>F138/F139</f>
        <v>3.7801350048216007E-4</v>
      </c>
      <c r="H138" s="223">
        <f>'2014'!D179</f>
        <v>46</v>
      </c>
      <c r="I138" s="224">
        <f>H138/H139</f>
        <v>2.1783603576299441E-4</v>
      </c>
      <c r="J138" s="223">
        <v>99</v>
      </c>
      <c r="K138" s="224">
        <f>J138/J139</f>
        <v>3.4167739441650822E-4</v>
      </c>
    </row>
    <row r="139" spans="1:13" ht="13.5" thickBot="1" x14ac:dyDescent="0.25">
      <c r="A139" s="330"/>
      <c r="B139" s="330"/>
      <c r="C139" s="322"/>
      <c r="D139" s="269">
        <f>SUM(D136:D138)</f>
        <v>50909</v>
      </c>
      <c r="E139" s="225"/>
      <c r="F139" s="270">
        <f>SUM(F136:F138)</f>
        <v>129625</v>
      </c>
      <c r="G139" s="226"/>
      <c r="H139" s="270">
        <f>SUM(H136:H138)</f>
        <v>211168</v>
      </c>
      <c r="I139" s="226"/>
      <c r="J139" s="270">
        <f>SUM(J136:J138)</f>
        <v>289747</v>
      </c>
      <c r="K139" s="226"/>
    </row>
    <row r="145" spans="10:10" x14ac:dyDescent="0.2">
      <c r="J145" s="275"/>
    </row>
  </sheetData>
  <mergeCells count="103">
    <mergeCell ref="U82:X82"/>
    <mergeCell ref="W83:W85"/>
    <mergeCell ref="X83:X85"/>
    <mergeCell ref="W86:W100"/>
    <mergeCell ref="X86:X117"/>
    <mergeCell ref="W101:W115"/>
    <mergeCell ref="J68:K68"/>
    <mergeCell ref="J75:K75"/>
    <mergeCell ref="J135:K135"/>
    <mergeCell ref="L122:M122"/>
    <mergeCell ref="A74:K74"/>
    <mergeCell ref="A121:M121"/>
    <mergeCell ref="A134:K134"/>
    <mergeCell ref="H68:I68"/>
    <mergeCell ref="H75:I75"/>
    <mergeCell ref="F135:G135"/>
    <mergeCell ref="A127:E127"/>
    <mergeCell ref="A128:E128"/>
    <mergeCell ref="A129:E129"/>
    <mergeCell ref="A130:E130"/>
    <mergeCell ref="F122:G122"/>
    <mergeCell ref="A137:C137"/>
    <mergeCell ref="A138:C138"/>
    <mergeCell ref="A139:C139"/>
    <mergeCell ref="D135:E135"/>
    <mergeCell ref="J122:K122"/>
    <mergeCell ref="H135:I135"/>
    <mergeCell ref="A123:E123"/>
    <mergeCell ref="A124:E124"/>
    <mergeCell ref="A125:E125"/>
    <mergeCell ref="A126:E126"/>
    <mergeCell ref="H122:I122"/>
    <mergeCell ref="A112:L112"/>
    <mergeCell ref="A109:L109"/>
    <mergeCell ref="A110:L110"/>
    <mergeCell ref="A118:L118"/>
    <mergeCell ref="A113:L113"/>
    <mergeCell ref="A115:L115"/>
    <mergeCell ref="A116:L116"/>
    <mergeCell ref="A117:L117"/>
    <mergeCell ref="A136:C136"/>
    <mergeCell ref="Q82:T82"/>
    <mergeCell ref="S83:S85"/>
    <mergeCell ref="M82:P82"/>
    <mergeCell ref="O83:O85"/>
    <mergeCell ref="O86:O100"/>
    <mergeCell ref="P86:P117"/>
    <mergeCell ref="P83:P85"/>
    <mergeCell ref="T83:T85"/>
    <mergeCell ref="S86:S100"/>
    <mergeCell ref="T86:T117"/>
    <mergeCell ref="S101:S115"/>
    <mergeCell ref="O101:O115"/>
    <mergeCell ref="A92:L92"/>
    <mergeCell ref="A93:L93"/>
    <mergeCell ref="A95:L95"/>
    <mergeCell ref="A97:L97"/>
    <mergeCell ref="A98:L98"/>
    <mergeCell ref="A101:L101"/>
    <mergeCell ref="A102:L102"/>
    <mergeCell ref="A111:L111"/>
    <mergeCell ref="A99:L99"/>
    <mergeCell ref="A100:L100"/>
    <mergeCell ref="A103:L103"/>
    <mergeCell ref="A104:L104"/>
    <mergeCell ref="A105:L105"/>
    <mergeCell ref="A106:L106"/>
    <mergeCell ref="A107:L107"/>
    <mergeCell ref="A108:L108"/>
    <mergeCell ref="D68:E68"/>
    <mergeCell ref="F68:G68"/>
    <mergeCell ref="F75:G75"/>
    <mergeCell ref="D75:E75"/>
    <mergeCell ref="A1:D1"/>
    <mergeCell ref="A21:C21"/>
    <mergeCell ref="A41:D41"/>
    <mergeCell ref="A69:C69"/>
    <mergeCell ref="A70:C70"/>
    <mergeCell ref="A67:K67"/>
    <mergeCell ref="A89:L89"/>
    <mergeCell ref="A114:L114"/>
    <mergeCell ref="Y82:AB82"/>
    <mergeCell ref="AA83:AA85"/>
    <mergeCell ref="AB83:AB85"/>
    <mergeCell ref="AA86:AA100"/>
    <mergeCell ref="AB86:AB117"/>
    <mergeCell ref="AA101:AA115"/>
    <mergeCell ref="A71:C71"/>
    <mergeCell ref="A84:L84"/>
    <mergeCell ref="A76:C76"/>
    <mergeCell ref="A77:C77"/>
    <mergeCell ref="A78:C78"/>
    <mergeCell ref="A82:L82"/>
    <mergeCell ref="A81:L81"/>
    <mergeCell ref="A83:L83"/>
    <mergeCell ref="A94:L94"/>
    <mergeCell ref="A96:L96"/>
    <mergeCell ref="A85:L85"/>
    <mergeCell ref="A86:L86"/>
    <mergeCell ref="A87:L87"/>
    <mergeCell ref="A88:L88"/>
    <mergeCell ref="A90:L90"/>
    <mergeCell ref="A91:L91"/>
  </mergeCells>
  <conditionalFormatting sqref="N83:N117">
    <cfRule type="top10" dxfId="21" priority="4" rank="5"/>
  </conditionalFormatting>
  <conditionalFormatting sqref="R83:R117">
    <cfRule type="top10" dxfId="20" priority="3" rank="5"/>
  </conditionalFormatting>
  <conditionalFormatting sqref="V83:V117">
    <cfRule type="top10" dxfId="19" priority="2" rank="5"/>
  </conditionalFormatting>
  <conditionalFormatting sqref="Z83:Z117">
    <cfRule type="top10" dxfId="18" priority="1" rank="5"/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380"/>
  <sheetViews>
    <sheetView zoomScaleNormal="100" workbookViewId="0">
      <selection activeCell="A2" sqref="A2:H2"/>
    </sheetView>
  </sheetViews>
  <sheetFormatPr defaultRowHeight="12.75" x14ac:dyDescent="0.2"/>
  <cols>
    <col min="1" max="1" width="4.7109375" customWidth="1"/>
    <col min="2" max="2" width="7.85546875" customWidth="1"/>
    <col min="3" max="3" width="6.5703125" customWidth="1"/>
    <col min="4" max="4" width="6.7109375" customWidth="1"/>
    <col min="6" max="6" width="9" customWidth="1"/>
  </cols>
  <sheetData>
    <row r="1" spans="1:11" ht="20.25" thickBot="1" x14ac:dyDescent="0.35">
      <c r="A1" s="215" t="s">
        <v>181</v>
      </c>
    </row>
    <row r="2" spans="1:11" ht="13.5" thickTop="1" x14ac:dyDescent="0.2">
      <c r="A2" s="315" t="s">
        <v>68</v>
      </c>
      <c r="B2" s="315"/>
      <c r="C2" s="315"/>
      <c r="D2" s="315"/>
      <c r="E2" s="315"/>
      <c r="F2" s="315"/>
      <c r="G2" s="315"/>
      <c r="H2" s="315"/>
    </row>
    <row r="3" spans="1:11" x14ac:dyDescent="0.2">
      <c r="A3" s="13" t="s">
        <v>32</v>
      </c>
      <c r="B3" s="9">
        <v>15</v>
      </c>
      <c r="C3" s="316" t="s">
        <v>33</v>
      </c>
      <c r="D3" s="316"/>
      <c r="E3" s="316"/>
      <c r="F3" s="316"/>
      <c r="G3" s="316"/>
      <c r="H3" s="316"/>
      <c r="I3" s="8"/>
      <c r="J3" s="8"/>
      <c r="K3" s="8"/>
    </row>
    <row r="4" spans="1:11" x14ac:dyDescent="0.2">
      <c r="A4" s="2" t="s">
        <v>4</v>
      </c>
      <c r="B4" s="9">
        <v>16</v>
      </c>
      <c r="C4" s="316" t="s">
        <v>22</v>
      </c>
      <c r="D4" s="316"/>
      <c r="E4" s="316"/>
      <c r="F4" s="316"/>
      <c r="G4" s="316"/>
      <c r="H4" s="316"/>
      <c r="I4" s="8"/>
      <c r="J4" s="8"/>
      <c r="K4" s="8"/>
    </row>
    <row r="5" spans="1:11" x14ac:dyDescent="0.2">
      <c r="A5" s="2" t="s">
        <v>5</v>
      </c>
      <c r="B5" s="9">
        <v>17</v>
      </c>
      <c r="C5" s="317" t="s">
        <v>3</v>
      </c>
      <c r="D5" s="317"/>
      <c r="E5" s="317"/>
      <c r="F5" s="317"/>
      <c r="G5" s="317"/>
      <c r="H5" s="317"/>
    </row>
    <row r="6" spans="1:11" x14ac:dyDescent="0.2">
      <c r="A6" s="3" t="s">
        <v>6</v>
      </c>
      <c r="B6" s="9">
        <v>19</v>
      </c>
      <c r="C6" s="318" t="s">
        <v>13</v>
      </c>
      <c r="D6" s="318"/>
      <c r="E6" s="318"/>
      <c r="F6" s="318"/>
      <c r="G6" s="318"/>
      <c r="H6" s="318"/>
    </row>
    <row r="7" spans="1:11" x14ac:dyDescent="0.2">
      <c r="A7" s="3" t="s">
        <v>7</v>
      </c>
      <c r="B7" s="9">
        <v>19</v>
      </c>
      <c r="C7" s="317"/>
      <c r="D7" s="317"/>
      <c r="E7" s="317"/>
      <c r="F7" s="317"/>
      <c r="G7" s="317"/>
      <c r="H7" s="317"/>
    </row>
    <row r="8" spans="1:11" x14ac:dyDescent="0.2">
      <c r="A8" s="3" t="s">
        <v>8</v>
      </c>
      <c r="B8" s="9">
        <v>19</v>
      </c>
      <c r="C8" s="317"/>
      <c r="D8" s="317"/>
      <c r="E8" s="317"/>
      <c r="F8" s="317"/>
      <c r="G8" s="317"/>
      <c r="H8" s="317"/>
    </row>
    <row r="9" spans="1:11" x14ac:dyDescent="0.2">
      <c r="A9" s="3" t="s">
        <v>9</v>
      </c>
      <c r="B9" s="9">
        <v>20</v>
      </c>
      <c r="C9" s="317" t="s">
        <v>2</v>
      </c>
      <c r="D9" s="317"/>
      <c r="E9" s="317"/>
      <c r="F9" s="317"/>
      <c r="G9" s="317"/>
      <c r="H9" s="317"/>
    </row>
    <row r="10" spans="1:11" x14ac:dyDescent="0.2">
      <c r="A10" s="3" t="s">
        <v>10</v>
      </c>
      <c r="B10" s="9">
        <v>20</v>
      </c>
      <c r="C10" s="317"/>
      <c r="D10" s="317"/>
      <c r="E10" s="317"/>
      <c r="F10" s="317"/>
      <c r="G10" s="317"/>
      <c r="H10" s="317"/>
    </row>
    <row r="11" spans="1:11" x14ac:dyDescent="0.2">
      <c r="A11" s="3" t="s">
        <v>12</v>
      </c>
      <c r="B11" s="5">
        <v>20</v>
      </c>
      <c r="C11" s="317"/>
      <c r="D11" s="317"/>
      <c r="E11" s="317"/>
      <c r="F11" s="317"/>
      <c r="G11" s="317"/>
      <c r="H11" s="317"/>
    </row>
    <row r="14" spans="1:11" ht="27.75" customHeight="1" x14ac:dyDescent="0.2">
      <c r="A14" s="325" t="s">
        <v>141</v>
      </c>
      <c r="B14" s="325"/>
      <c r="C14" s="325"/>
      <c r="D14" s="20"/>
    </row>
    <row r="15" spans="1:11" x14ac:dyDescent="0.2">
      <c r="A15" s="13" t="s">
        <v>32</v>
      </c>
      <c r="B15" s="9">
        <v>30</v>
      </c>
      <c r="C15" s="10">
        <f>B15/(B3*(B3-1))</f>
        <v>0.14285714285714285</v>
      </c>
      <c r="D15" s="20"/>
    </row>
    <row r="16" spans="1:11" x14ac:dyDescent="0.2">
      <c r="A16" s="2" t="s">
        <v>4</v>
      </c>
      <c r="B16" s="9">
        <v>73</v>
      </c>
      <c r="C16" s="10">
        <f t="shared" ref="C16:C23" si="0">B16/(B4*(B4-1))</f>
        <v>0.30416666666666664</v>
      </c>
      <c r="D16" s="20"/>
    </row>
    <row r="17" spans="1:4" x14ac:dyDescent="0.2">
      <c r="A17" s="2" t="s">
        <v>5</v>
      </c>
      <c r="B17" s="9">
        <v>77</v>
      </c>
      <c r="C17" s="10">
        <f t="shared" si="0"/>
        <v>0.28308823529411764</v>
      </c>
      <c r="D17" s="20"/>
    </row>
    <row r="18" spans="1:4" x14ac:dyDescent="0.2">
      <c r="A18" s="3" t="s">
        <v>6</v>
      </c>
      <c r="B18" s="9">
        <v>97</v>
      </c>
      <c r="C18" s="10">
        <f t="shared" si="0"/>
        <v>0.28362573099415206</v>
      </c>
      <c r="D18" s="20"/>
    </row>
    <row r="19" spans="1:4" x14ac:dyDescent="0.2">
      <c r="A19" s="3" t="s">
        <v>7</v>
      </c>
      <c r="B19" s="9">
        <v>116</v>
      </c>
      <c r="C19" s="10">
        <f t="shared" si="0"/>
        <v>0.33918128654970758</v>
      </c>
      <c r="D19" s="20"/>
    </row>
    <row r="20" spans="1:4" x14ac:dyDescent="0.2">
      <c r="A20" s="3" t="s">
        <v>8</v>
      </c>
      <c r="B20" s="9">
        <v>128</v>
      </c>
      <c r="C20" s="10">
        <f t="shared" si="0"/>
        <v>0.3742690058479532</v>
      </c>
      <c r="D20" s="20"/>
    </row>
    <row r="21" spans="1:4" x14ac:dyDescent="0.2">
      <c r="A21" s="3" t="s">
        <v>9</v>
      </c>
      <c r="B21" s="9">
        <v>142</v>
      </c>
      <c r="C21" s="10">
        <f t="shared" si="0"/>
        <v>0.37368421052631579</v>
      </c>
      <c r="D21" s="20"/>
    </row>
    <row r="22" spans="1:4" x14ac:dyDescent="0.2">
      <c r="A22" s="3" t="s">
        <v>10</v>
      </c>
      <c r="B22" s="9">
        <v>149</v>
      </c>
      <c r="C22" s="10">
        <f t="shared" si="0"/>
        <v>0.39210526315789473</v>
      </c>
      <c r="D22" s="20"/>
    </row>
    <row r="23" spans="1:4" x14ac:dyDescent="0.2">
      <c r="A23" s="3" t="s">
        <v>12</v>
      </c>
      <c r="B23" s="12">
        <v>156</v>
      </c>
      <c r="C23" s="10">
        <f t="shared" si="0"/>
        <v>0.41052631578947368</v>
      </c>
      <c r="D23" s="20"/>
    </row>
    <row r="53" spans="1:2" x14ac:dyDescent="0.2">
      <c r="A53" s="315" t="s">
        <v>11</v>
      </c>
      <c r="B53" s="315"/>
    </row>
    <row r="54" spans="1:2" x14ac:dyDescent="0.2">
      <c r="A54" s="13" t="s">
        <v>32</v>
      </c>
      <c r="B54" s="14">
        <v>431</v>
      </c>
    </row>
    <row r="55" spans="1:2" x14ac:dyDescent="0.2">
      <c r="A55" s="2" t="s">
        <v>4</v>
      </c>
      <c r="B55" s="14">
        <v>23941</v>
      </c>
    </row>
    <row r="56" spans="1:2" x14ac:dyDescent="0.2">
      <c r="A56" s="2" t="s">
        <v>5</v>
      </c>
      <c r="B56" s="14">
        <v>32285</v>
      </c>
    </row>
    <row r="57" spans="1:2" x14ac:dyDescent="0.2">
      <c r="A57" s="3" t="s">
        <v>6</v>
      </c>
      <c r="B57" s="14">
        <v>32226</v>
      </c>
    </row>
    <row r="58" spans="1:2" x14ac:dyDescent="0.2">
      <c r="A58" s="3" t="s">
        <v>7</v>
      </c>
      <c r="B58" s="14">
        <v>43101</v>
      </c>
    </row>
    <row r="59" spans="1:2" x14ac:dyDescent="0.2">
      <c r="A59" s="3" t="s">
        <v>8</v>
      </c>
      <c r="B59" s="14">
        <v>40181</v>
      </c>
    </row>
    <row r="60" spans="1:2" x14ac:dyDescent="0.2">
      <c r="A60" s="3" t="s">
        <v>9</v>
      </c>
      <c r="B60" s="14">
        <v>46682</v>
      </c>
    </row>
    <row r="61" spans="1:2" x14ac:dyDescent="0.2">
      <c r="A61" s="3" t="s">
        <v>10</v>
      </c>
      <c r="B61" s="14">
        <v>46194</v>
      </c>
    </row>
    <row r="62" spans="1:2" x14ac:dyDescent="0.2">
      <c r="A62" s="3" t="s">
        <v>12</v>
      </c>
      <c r="B62" s="15">
        <v>35932</v>
      </c>
    </row>
    <row r="63" spans="1:2" x14ac:dyDescent="0.2">
      <c r="A63" s="98" t="s">
        <v>137</v>
      </c>
      <c r="B63" s="98">
        <f>SUM(B54:B62)</f>
        <v>300973</v>
      </c>
    </row>
    <row r="64" spans="1:2" x14ac:dyDescent="0.2">
      <c r="A64" s="91" t="s">
        <v>93</v>
      </c>
      <c r="B64">
        <f>AVERAGE(B55:B62)</f>
        <v>37567.75</v>
      </c>
    </row>
    <row r="66" spans="1:17" x14ac:dyDescent="0.2">
      <c r="Q66" s="6"/>
    </row>
    <row r="73" spans="1:17" x14ac:dyDescent="0.2">
      <c r="A73" s="307" t="s">
        <v>61</v>
      </c>
      <c r="B73" s="307"/>
      <c r="C73" s="307"/>
      <c r="D73" s="307"/>
    </row>
    <row r="74" spans="1:17" x14ac:dyDescent="0.2">
      <c r="A74" s="4"/>
      <c r="B74" s="4" t="s">
        <v>0</v>
      </c>
      <c r="C74" s="4" t="s">
        <v>1</v>
      </c>
      <c r="D74" s="26" t="s">
        <v>63</v>
      </c>
    </row>
    <row r="75" spans="1:17" x14ac:dyDescent="0.2">
      <c r="A75" s="13" t="s">
        <v>32</v>
      </c>
      <c r="B75" s="2">
        <v>197</v>
      </c>
      <c r="C75" s="2">
        <v>89</v>
      </c>
      <c r="D75" s="2">
        <v>32</v>
      </c>
    </row>
    <row r="76" spans="1:17" x14ac:dyDescent="0.2">
      <c r="A76" s="2" t="s">
        <v>4</v>
      </c>
      <c r="B76" s="2">
        <v>8884</v>
      </c>
      <c r="C76" s="2">
        <v>3948</v>
      </c>
      <c r="D76" s="2">
        <v>3209</v>
      </c>
    </row>
    <row r="77" spans="1:17" x14ac:dyDescent="0.2">
      <c r="A77" s="2" t="s">
        <v>5</v>
      </c>
      <c r="B77" s="2">
        <v>12137</v>
      </c>
      <c r="C77" s="2">
        <v>4953</v>
      </c>
      <c r="D77" s="2">
        <v>4061</v>
      </c>
    </row>
    <row r="78" spans="1:17" x14ac:dyDescent="0.2">
      <c r="A78" s="3" t="s">
        <v>6</v>
      </c>
      <c r="B78" s="2">
        <v>8453</v>
      </c>
      <c r="C78" s="2">
        <v>6203</v>
      </c>
      <c r="D78" s="2">
        <v>5666</v>
      </c>
    </row>
    <row r="79" spans="1:17" x14ac:dyDescent="0.2">
      <c r="A79" s="3" t="s">
        <v>7</v>
      </c>
      <c r="B79" s="2">
        <v>8723</v>
      </c>
      <c r="C79" s="2">
        <v>6798</v>
      </c>
      <c r="D79" s="2">
        <v>7175</v>
      </c>
    </row>
    <row r="80" spans="1:17" x14ac:dyDescent="0.2">
      <c r="A80" s="3" t="s">
        <v>8</v>
      </c>
      <c r="B80" s="2">
        <v>9893</v>
      </c>
      <c r="C80" s="2">
        <v>6612</v>
      </c>
      <c r="D80" s="2">
        <v>6285</v>
      </c>
    </row>
    <row r="81" spans="1:4" x14ac:dyDescent="0.2">
      <c r="A81" s="3" t="s">
        <v>9</v>
      </c>
      <c r="B81" s="2">
        <v>10702</v>
      </c>
      <c r="C81" s="2">
        <v>8090</v>
      </c>
      <c r="D81" s="2">
        <v>7443</v>
      </c>
    </row>
    <row r="82" spans="1:4" x14ac:dyDescent="0.2">
      <c r="A82" s="3" t="s">
        <v>10</v>
      </c>
      <c r="B82" s="2">
        <v>8032</v>
      </c>
      <c r="C82" s="2">
        <v>8002</v>
      </c>
      <c r="D82" s="2">
        <v>7615</v>
      </c>
    </row>
    <row r="83" spans="1:4" x14ac:dyDescent="0.2">
      <c r="A83" s="3" t="s">
        <v>12</v>
      </c>
      <c r="B83" s="11">
        <v>9590</v>
      </c>
      <c r="C83" s="11">
        <v>6214</v>
      </c>
      <c r="D83" s="11">
        <v>5968</v>
      </c>
    </row>
    <row r="84" spans="1:4" x14ac:dyDescent="0.2">
      <c r="A84" s="100" t="s">
        <v>137</v>
      </c>
      <c r="B84" s="7">
        <f>SUM(B75:B83)</f>
        <v>76611</v>
      </c>
      <c r="C84" s="7">
        <f>SUM(C75:C83)</f>
        <v>50909</v>
      </c>
      <c r="D84" s="7">
        <f>SUM(D75:D83)</f>
        <v>47454</v>
      </c>
    </row>
    <row r="85" spans="1:4" x14ac:dyDescent="0.2">
      <c r="A85" s="38" t="s">
        <v>93</v>
      </c>
      <c r="B85" s="54">
        <f>AVERAGE(B76:B83)</f>
        <v>9551.75</v>
      </c>
      <c r="C85" s="54">
        <f t="shared" ref="C85:D85" si="1">AVERAGE(C76:C83)</f>
        <v>6352.5</v>
      </c>
      <c r="D85" s="54">
        <f t="shared" si="1"/>
        <v>5927.75</v>
      </c>
    </row>
    <row r="121" spans="1:7" x14ac:dyDescent="0.2">
      <c r="E121" s="19"/>
    </row>
    <row r="122" spans="1:7" x14ac:dyDescent="0.2">
      <c r="A122" s="326" t="s">
        <v>37</v>
      </c>
      <c r="B122" s="327"/>
      <c r="C122" s="327"/>
      <c r="D122" s="327"/>
      <c r="E122" s="327"/>
      <c r="F122" s="327"/>
      <c r="G122" s="327"/>
    </row>
    <row r="123" spans="1:7" x14ac:dyDescent="0.2">
      <c r="A123" s="3" t="s">
        <v>0</v>
      </c>
      <c r="B123" s="319" t="s">
        <v>38</v>
      </c>
      <c r="C123" s="320"/>
      <c r="D123" s="320"/>
      <c r="E123" s="321"/>
      <c r="F123" s="2">
        <v>76611</v>
      </c>
      <c r="G123" s="18">
        <f>F123/F135</f>
        <v>0.25454442757323748</v>
      </c>
    </row>
    <row r="124" spans="1:7" x14ac:dyDescent="0.2">
      <c r="A124" s="3" t="s">
        <v>39</v>
      </c>
      <c r="B124" s="319" t="s">
        <v>40</v>
      </c>
      <c r="C124" s="320"/>
      <c r="D124" s="320"/>
      <c r="E124" s="321"/>
      <c r="F124" s="2">
        <v>2578</v>
      </c>
      <c r="G124" s="18">
        <f>F124/F135</f>
        <v>8.5655523917427812E-3</v>
      </c>
    </row>
    <row r="125" spans="1:7" x14ac:dyDescent="0.2">
      <c r="A125" s="3" t="s">
        <v>41</v>
      </c>
      <c r="B125" s="319" t="s">
        <v>42</v>
      </c>
      <c r="C125" s="320"/>
      <c r="D125" s="320"/>
      <c r="E125" s="321"/>
      <c r="F125" s="2">
        <v>59426</v>
      </c>
      <c r="G125" s="18">
        <f>F125/F135</f>
        <v>0.1974462825569071</v>
      </c>
    </row>
    <row r="126" spans="1:7" x14ac:dyDescent="0.2">
      <c r="A126" s="3" t="s">
        <v>1</v>
      </c>
      <c r="B126" s="319" t="s">
        <v>43</v>
      </c>
      <c r="C126" s="320"/>
      <c r="D126" s="320"/>
      <c r="E126" s="321"/>
      <c r="F126" s="2">
        <v>50909</v>
      </c>
      <c r="G126" s="18">
        <f>F126/F135</f>
        <v>0.16914806311529607</v>
      </c>
    </row>
    <row r="127" spans="1:7" x14ac:dyDescent="0.2">
      <c r="A127" s="3" t="s">
        <v>44</v>
      </c>
      <c r="B127" s="319" t="s">
        <v>45</v>
      </c>
      <c r="C127" s="320"/>
      <c r="D127" s="320"/>
      <c r="E127" s="321"/>
      <c r="F127" s="2">
        <v>51665</v>
      </c>
      <c r="G127" s="18">
        <f>F127/F135</f>
        <v>0.17165991633801039</v>
      </c>
    </row>
    <row r="128" spans="1:7" x14ac:dyDescent="0.2">
      <c r="A128" s="3" t="s">
        <v>46</v>
      </c>
      <c r="B128" s="319" t="s">
        <v>47</v>
      </c>
      <c r="C128" s="320"/>
      <c r="D128" s="320"/>
      <c r="E128" s="321"/>
      <c r="F128" s="2">
        <v>300</v>
      </c>
      <c r="G128" s="18">
        <f>F128/F135</f>
        <v>9.9676715187076571E-4</v>
      </c>
    </row>
    <row r="129" spans="1:7" x14ac:dyDescent="0.2">
      <c r="A129" s="3" t="s">
        <v>48</v>
      </c>
      <c r="B129" s="319" t="s">
        <v>49</v>
      </c>
      <c r="C129" s="320"/>
      <c r="D129" s="320"/>
      <c r="E129" s="321"/>
      <c r="F129" s="2">
        <v>1005</v>
      </c>
      <c r="G129" s="18">
        <f>F129/F135</f>
        <v>3.3391699587670656E-3</v>
      </c>
    </row>
    <row r="130" spans="1:7" x14ac:dyDescent="0.2">
      <c r="A130" s="3" t="s">
        <v>50</v>
      </c>
      <c r="B130" s="319" t="s">
        <v>51</v>
      </c>
      <c r="C130" s="320"/>
      <c r="D130" s="320"/>
      <c r="E130" s="321"/>
      <c r="F130" s="2">
        <v>46149</v>
      </c>
      <c r="G130" s="18">
        <f>F130/F135</f>
        <v>0.15333269097227992</v>
      </c>
    </row>
    <row r="131" spans="1:7" x14ac:dyDescent="0.2">
      <c r="A131" s="3" t="s">
        <v>52</v>
      </c>
      <c r="B131" s="319" t="s">
        <v>53</v>
      </c>
      <c r="C131" s="320"/>
      <c r="D131" s="320"/>
      <c r="E131" s="321"/>
      <c r="F131" s="2">
        <v>3209</v>
      </c>
      <c r="G131" s="18">
        <f>F131/F135</f>
        <v>1.0662085967844293E-2</v>
      </c>
    </row>
    <row r="132" spans="1:7" x14ac:dyDescent="0.2">
      <c r="A132" s="3" t="s">
        <v>54</v>
      </c>
      <c r="B132" s="319" t="s">
        <v>55</v>
      </c>
      <c r="C132" s="320"/>
      <c r="D132" s="320"/>
      <c r="E132" s="321"/>
      <c r="F132" s="2">
        <v>750</v>
      </c>
      <c r="G132" s="18">
        <f>F132/F135</f>
        <v>2.4919178796769144E-3</v>
      </c>
    </row>
    <row r="133" spans="1:7" x14ac:dyDescent="0.2">
      <c r="A133" s="3" t="s">
        <v>56</v>
      </c>
      <c r="B133" s="328" t="s">
        <v>62</v>
      </c>
      <c r="C133" s="320"/>
      <c r="D133" s="320"/>
      <c r="E133" s="321"/>
      <c r="F133" s="2">
        <v>1355</v>
      </c>
      <c r="G133" s="18">
        <f>F133/F135</f>
        <v>4.5020649692829586E-3</v>
      </c>
    </row>
    <row r="134" spans="1:7" x14ac:dyDescent="0.2">
      <c r="A134" s="3" t="s">
        <v>57</v>
      </c>
      <c r="B134" s="319" t="s">
        <v>58</v>
      </c>
      <c r="C134" s="320"/>
      <c r="D134" s="320"/>
      <c r="E134" s="321"/>
      <c r="F134" s="2">
        <v>7016</v>
      </c>
      <c r="G134" s="18">
        <f>F134/F135</f>
        <v>2.3311061125084308E-2</v>
      </c>
    </row>
    <row r="135" spans="1:7" x14ac:dyDescent="0.2">
      <c r="A135" s="322"/>
      <c r="B135" s="323"/>
      <c r="C135" s="323"/>
      <c r="D135" s="323"/>
      <c r="E135" s="324"/>
      <c r="F135" s="7">
        <f>SUM(F123:F134)</f>
        <v>300973</v>
      </c>
      <c r="G135" s="1"/>
    </row>
    <row r="145" spans="1:5" x14ac:dyDescent="0.2">
      <c r="A145" s="327" t="s">
        <v>69</v>
      </c>
      <c r="B145" s="327"/>
      <c r="C145" s="327"/>
      <c r="D145" s="327"/>
      <c r="E145" s="327"/>
    </row>
    <row r="146" spans="1:5" x14ac:dyDescent="0.2">
      <c r="A146" s="329" t="s">
        <v>70</v>
      </c>
      <c r="B146" s="329"/>
      <c r="C146" s="329"/>
      <c r="D146" s="2">
        <v>51089</v>
      </c>
      <c r="E146" s="18">
        <f>D146/D148</f>
        <v>0.67732141910165988</v>
      </c>
    </row>
    <row r="147" spans="1:5" x14ac:dyDescent="0.2">
      <c r="A147" s="329" t="s">
        <v>71</v>
      </c>
      <c r="B147" s="329"/>
      <c r="C147" s="329"/>
      <c r="D147" s="2">
        <v>24339</v>
      </c>
      <c r="E147" s="18">
        <f>D147/D148</f>
        <v>0.32267858089834012</v>
      </c>
    </row>
    <row r="148" spans="1:5" x14ac:dyDescent="0.2">
      <c r="A148" s="330"/>
      <c r="B148" s="330"/>
      <c r="C148" s="330"/>
      <c r="D148" s="7">
        <f>SUM(D146:D147)</f>
        <v>75428</v>
      </c>
      <c r="E148" s="1"/>
    </row>
    <row r="150" spans="1:5" x14ac:dyDescent="0.2">
      <c r="A150" s="327" t="s">
        <v>72</v>
      </c>
      <c r="B150" s="327"/>
      <c r="C150" s="327"/>
      <c r="D150" s="327"/>
      <c r="E150" s="327"/>
    </row>
    <row r="151" spans="1:5" x14ac:dyDescent="0.2">
      <c r="A151" s="331" t="s">
        <v>73</v>
      </c>
      <c r="B151" s="332"/>
      <c r="C151" s="333"/>
      <c r="D151" s="9">
        <v>41601</v>
      </c>
      <c r="E151" s="23">
        <f>D151/D153</f>
        <v>0.82332568081063962</v>
      </c>
    </row>
    <row r="152" spans="1:5" x14ac:dyDescent="0.2">
      <c r="A152" s="331" t="s">
        <v>74</v>
      </c>
      <c r="B152" s="332"/>
      <c r="C152" s="333"/>
      <c r="D152" s="9">
        <v>8927</v>
      </c>
      <c r="E152" s="23">
        <f>D152/D153</f>
        <v>0.17667431918936036</v>
      </c>
    </row>
    <row r="153" spans="1:5" x14ac:dyDescent="0.2">
      <c r="A153" s="330"/>
      <c r="B153" s="330"/>
      <c r="C153" s="330"/>
      <c r="D153" s="24">
        <f>SUM(D151:D152)</f>
        <v>50528</v>
      </c>
      <c r="E153" s="1"/>
    </row>
    <row r="157" spans="1:5" x14ac:dyDescent="0.2">
      <c r="A157" s="327" t="s">
        <v>75</v>
      </c>
      <c r="B157" s="327"/>
      <c r="C157" s="327"/>
      <c r="D157" s="327"/>
      <c r="E157" s="327"/>
    </row>
    <row r="158" spans="1:5" x14ac:dyDescent="0.2">
      <c r="A158" s="331" t="s">
        <v>65</v>
      </c>
      <c r="B158" s="332"/>
      <c r="C158" s="333"/>
      <c r="D158" s="9">
        <f>F126-(D159+D160)</f>
        <v>48398</v>
      </c>
      <c r="E158" s="23">
        <f>D158/D161</f>
        <v>0.95067669763696006</v>
      </c>
    </row>
    <row r="159" spans="1:5" x14ac:dyDescent="0.2">
      <c r="A159" s="331" t="s">
        <v>76</v>
      </c>
      <c r="B159" s="332"/>
      <c r="C159" s="333"/>
      <c r="D159" s="9">
        <v>2503</v>
      </c>
      <c r="E159" s="23">
        <f>D159/D161</f>
        <v>4.9166159225284334E-2</v>
      </c>
    </row>
    <row r="160" spans="1:5" x14ac:dyDescent="0.2">
      <c r="A160" s="331" t="s">
        <v>64</v>
      </c>
      <c r="B160" s="332"/>
      <c r="C160" s="333"/>
      <c r="D160" s="9">
        <v>8</v>
      </c>
      <c r="E160" s="23">
        <f>D160/D161</f>
        <v>1.5714313775560314E-4</v>
      </c>
    </row>
    <row r="161" spans="1:7" x14ac:dyDescent="0.2">
      <c r="A161" s="330"/>
      <c r="B161" s="330"/>
      <c r="C161" s="330"/>
      <c r="D161" s="24">
        <f>SUM(D158:D160)</f>
        <v>50909</v>
      </c>
      <c r="E161" s="1"/>
    </row>
    <row r="163" spans="1:7" s="27" customFormat="1" x14ac:dyDescent="0.2"/>
    <row r="164" spans="1:7" s="27" customFormat="1" x14ac:dyDescent="0.2">
      <c r="A164" s="341" t="s">
        <v>176</v>
      </c>
      <c r="B164" s="341"/>
      <c r="C164" s="341"/>
      <c r="D164" s="341"/>
      <c r="E164" s="341"/>
    </row>
    <row r="165" spans="1:7" s="27" customFormat="1" x14ac:dyDescent="0.2">
      <c r="A165" s="211" t="s">
        <v>65</v>
      </c>
      <c r="B165" s="212"/>
      <c r="C165" s="213"/>
      <c r="D165" s="59">
        <f>F130-D166-D167</f>
        <v>44164</v>
      </c>
      <c r="E165" s="47">
        <f>D165/D168</f>
        <v>0.95698715031744996</v>
      </c>
    </row>
    <row r="166" spans="1:7" s="27" customFormat="1" x14ac:dyDescent="0.2">
      <c r="A166" s="211" t="s">
        <v>76</v>
      </c>
      <c r="B166" s="212"/>
      <c r="C166" s="213"/>
      <c r="D166" s="59">
        <v>1981</v>
      </c>
      <c r="E166" s="47">
        <f>D166/D168</f>
        <v>4.2926173914927736E-2</v>
      </c>
    </row>
    <row r="167" spans="1:7" s="27" customFormat="1" x14ac:dyDescent="0.2">
      <c r="A167" s="211" t="s">
        <v>64</v>
      </c>
      <c r="B167" s="212"/>
      <c r="C167" s="213"/>
      <c r="D167" s="59">
        <v>4</v>
      </c>
      <c r="E167" s="47">
        <f>D167/D168</f>
        <v>8.6675767622266999E-5</v>
      </c>
    </row>
    <row r="168" spans="1:7" s="27" customFormat="1" x14ac:dyDescent="0.2">
      <c r="A168" s="342"/>
      <c r="B168" s="342"/>
      <c r="C168" s="342"/>
      <c r="D168" s="48">
        <f>SUM(D165:D167)</f>
        <v>46149</v>
      </c>
      <c r="E168" s="42"/>
    </row>
    <row r="169" spans="1:7" s="27" customFormat="1" x14ac:dyDescent="0.2"/>
    <row r="171" spans="1:7" x14ac:dyDescent="0.2">
      <c r="A171" s="334" t="s">
        <v>34</v>
      </c>
      <c r="B171" s="334"/>
      <c r="C171" s="334"/>
      <c r="D171" s="334"/>
      <c r="E171" s="334"/>
    </row>
    <row r="172" spans="1:7" x14ac:dyDescent="0.2">
      <c r="A172" s="338" t="s">
        <v>59</v>
      </c>
      <c r="B172" s="339"/>
      <c r="C172" s="340"/>
      <c r="D172" s="2">
        <v>59426</v>
      </c>
      <c r="E172" s="18">
        <f>D172/D174</f>
        <v>0.95842203728791686</v>
      </c>
    </row>
    <row r="173" spans="1:7" x14ac:dyDescent="0.2">
      <c r="A173" s="338" t="s">
        <v>77</v>
      </c>
      <c r="B173" s="339"/>
      <c r="C173" s="340"/>
      <c r="D173" s="25">
        <v>2578</v>
      </c>
      <c r="E173" s="18">
        <f>D173/D174</f>
        <v>4.157796271208309E-2</v>
      </c>
    </row>
    <row r="174" spans="1:7" x14ac:dyDescent="0.2">
      <c r="A174" s="330"/>
      <c r="B174" s="330"/>
      <c r="C174" s="330"/>
      <c r="D174" s="7">
        <f>SUM(D172:D173)</f>
        <v>62004</v>
      </c>
      <c r="E174" s="1"/>
    </row>
    <row r="176" spans="1:7" x14ac:dyDescent="0.2">
      <c r="A176" s="334" t="s">
        <v>35</v>
      </c>
      <c r="B176" s="334"/>
      <c r="C176" s="334"/>
      <c r="D176" s="334"/>
      <c r="E176" s="334"/>
      <c r="F176" s="334"/>
      <c r="G176" s="334"/>
    </row>
    <row r="177" spans="1:7" x14ac:dyDescent="0.2">
      <c r="A177" s="338" t="s">
        <v>78</v>
      </c>
      <c r="B177" s="339"/>
      <c r="C177" s="339"/>
      <c r="D177" s="339"/>
      <c r="E177" s="340"/>
      <c r="F177" s="3">
        <v>31901</v>
      </c>
      <c r="G177" s="18">
        <f>F177/F181</f>
        <v>0.67225102204239895</v>
      </c>
    </row>
    <row r="178" spans="1:7" x14ac:dyDescent="0.2">
      <c r="A178" s="338" t="s">
        <v>79</v>
      </c>
      <c r="B178" s="339"/>
      <c r="C178" s="339"/>
      <c r="D178" s="339"/>
      <c r="E178" s="340"/>
      <c r="F178" s="3">
        <v>14248</v>
      </c>
      <c r="G178" s="18">
        <f>F178/F181</f>
        <v>0.30024866186201377</v>
      </c>
    </row>
    <row r="179" spans="1:7" x14ac:dyDescent="0.2">
      <c r="A179" s="338" t="s">
        <v>60</v>
      </c>
      <c r="B179" s="339"/>
      <c r="C179" s="339"/>
      <c r="D179" s="339"/>
      <c r="E179" s="340"/>
      <c r="F179" s="2">
        <v>300</v>
      </c>
      <c r="G179" s="18">
        <f>F179/F181</f>
        <v>6.3219117461120241E-3</v>
      </c>
    </row>
    <row r="180" spans="1:7" x14ac:dyDescent="0.2">
      <c r="A180" s="338" t="s">
        <v>77</v>
      </c>
      <c r="B180" s="339"/>
      <c r="C180" s="339"/>
      <c r="D180" s="339"/>
      <c r="E180" s="340"/>
      <c r="F180" s="25">
        <v>1005</v>
      </c>
      <c r="G180" s="18">
        <f>F180/F181</f>
        <v>2.117840434947528E-2</v>
      </c>
    </row>
    <row r="181" spans="1:7" x14ac:dyDescent="0.2">
      <c r="A181" s="335"/>
      <c r="B181" s="336"/>
      <c r="C181" s="336"/>
      <c r="D181" s="336"/>
      <c r="E181" s="337"/>
      <c r="F181" s="7">
        <f>SUM(F177:F180)</f>
        <v>47454</v>
      </c>
      <c r="G181" s="1"/>
    </row>
    <row r="184" spans="1:7" x14ac:dyDescent="0.2">
      <c r="A184" s="306" t="s">
        <v>166</v>
      </c>
      <c r="B184" s="307"/>
      <c r="C184" s="307"/>
      <c r="D184" s="307"/>
    </row>
    <row r="185" spans="1:7" s="27" customFormat="1" ht="15" x14ac:dyDescent="0.25">
      <c r="A185" s="66"/>
      <c r="B185" s="67" t="s">
        <v>99</v>
      </c>
      <c r="C185" s="67" t="s">
        <v>138</v>
      </c>
      <c r="D185" s="87" t="s">
        <v>139</v>
      </c>
    </row>
    <row r="186" spans="1:7" x14ac:dyDescent="0.2">
      <c r="A186" s="3" t="s">
        <v>14</v>
      </c>
      <c r="B186" s="16">
        <v>18</v>
      </c>
      <c r="C186" s="18">
        <f>B186/19</f>
        <v>0.94736842105263153</v>
      </c>
      <c r="D186" s="18">
        <f>B186/26</f>
        <v>0.69230769230769229</v>
      </c>
    </row>
    <row r="187" spans="1:7" x14ac:dyDescent="0.2">
      <c r="A187" s="3" t="s">
        <v>15</v>
      </c>
      <c r="B187" s="14">
        <v>3</v>
      </c>
      <c r="C187" s="18">
        <f t="shared" ref="C187:C205" si="2">B187/19</f>
        <v>0.15789473684210525</v>
      </c>
      <c r="D187" s="18">
        <f t="shared" ref="D187:D205" si="3">B187/26</f>
        <v>0.11538461538461539</v>
      </c>
    </row>
    <row r="188" spans="1:7" x14ac:dyDescent="0.2">
      <c r="A188" s="3" t="s">
        <v>16</v>
      </c>
      <c r="B188" s="14">
        <v>8</v>
      </c>
      <c r="C188" s="18">
        <f t="shared" si="2"/>
        <v>0.42105263157894735</v>
      </c>
      <c r="D188" s="18">
        <f t="shared" si="3"/>
        <v>0.30769230769230771</v>
      </c>
    </row>
    <row r="189" spans="1:7" x14ac:dyDescent="0.2">
      <c r="A189" s="3" t="s">
        <v>17</v>
      </c>
      <c r="B189" s="14">
        <v>3</v>
      </c>
      <c r="C189" s="18">
        <f t="shared" si="2"/>
        <v>0.15789473684210525</v>
      </c>
      <c r="D189" s="18">
        <f t="shared" si="3"/>
        <v>0.11538461538461539</v>
      </c>
    </row>
    <row r="190" spans="1:7" x14ac:dyDescent="0.2">
      <c r="A190" s="3" t="s">
        <v>18</v>
      </c>
      <c r="B190" s="14">
        <v>6</v>
      </c>
      <c r="C190" s="18">
        <f t="shared" si="2"/>
        <v>0.31578947368421051</v>
      </c>
      <c r="D190" s="18">
        <f t="shared" si="3"/>
        <v>0.23076923076923078</v>
      </c>
    </row>
    <row r="191" spans="1:7" x14ac:dyDescent="0.2">
      <c r="A191" s="3" t="s">
        <v>19</v>
      </c>
      <c r="B191" s="14">
        <v>7</v>
      </c>
      <c r="C191" s="18">
        <f t="shared" si="2"/>
        <v>0.36842105263157893</v>
      </c>
      <c r="D191" s="18">
        <f t="shared" si="3"/>
        <v>0.26923076923076922</v>
      </c>
    </row>
    <row r="192" spans="1:7" x14ac:dyDescent="0.2">
      <c r="A192" s="3" t="s">
        <v>20</v>
      </c>
      <c r="B192" s="14">
        <v>9</v>
      </c>
      <c r="C192" s="18">
        <f t="shared" si="2"/>
        <v>0.47368421052631576</v>
      </c>
      <c r="D192" s="18">
        <f t="shared" si="3"/>
        <v>0.34615384615384615</v>
      </c>
    </row>
    <row r="193" spans="1:4" x14ac:dyDescent="0.2">
      <c r="A193" s="3" t="s">
        <v>21</v>
      </c>
      <c r="B193" s="14">
        <v>14</v>
      </c>
      <c r="C193" s="18">
        <f t="shared" si="2"/>
        <v>0.73684210526315785</v>
      </c>
      <c r="D193" s="18">
        <f t="shared" si="3"/>
        <v>0.53846153846153844</v>
      </c>
    </row>
    <row r="194" spans="1:4" x14ac:dyDescent="0.2">
      <c r="A194" s="3" t="s">
        <v>22</v>
      </c>
      <c r="B194" s="14">
        <v>9</v>
      </c>
      <c r="C194" s="18">
        <f t="shared" si="2"/>
        <v>0.47368421052631576</v>
      </c>
      <c r="D194" s="18">
        <f t="shared" si="3"/>
        <v>0.34615384615384615</v>
      </c>
    </row>
    <row r="195" spans="1:4" x14ac:dyDescent="0.2">
      <c r="A195" s="3" t="s">
        <v>23</v>
      </c>
      <c r="B195" s="14">
        <v>11</v>
      </c>
      <c r="C195" s="18">
        <f t="shared" si="2"/>
        <v>0.57894736842105265</v>
      </c>
      <c r="D195" s="18">
        <f t="shared" si="3"/>
        <v>0.42307692307692307</v>
      </c>
    </row>
    <row r="196" spans="1:4" x14ac:dyDescent="0.2">
      <c r="A196" s="3" t="s">
        <v>24</v>
      </c>
      <c r="B196" s="14">
        <v>13</v>
      </c>
      <c r="C196" s="18">
        <f t="shared" si="2"/>
        <v>0.68421052631578949</v>
      </c>
      <c r="D196" s="18">
        <f t="shared" si="3"/>
        <v>0.5</v>
      </c>
    </row>
    <row r="197" spans="1:4" x14ac:dyDescent="0.2">
      <c r="A197" s="3" t="s">
        <v>25</v>
      </c>
      <c r="B197" s="14">
        <v>7</v>
      </c>
      <c r="C197" s="18">
        <f t="shared" si="2"/>
        <v>0.36842105263157893</v>
      </c>
      <c r="D197" s="18">
        <f t="shared" si="3"/>
        <v>0.26923076923076922</v>
      </c>
    </row>
    <row r="198" spans="1:4" x14ac:dyDescent="0.2">
      <c r="A198" s="3" t="s">
        <v>2</v>
      </c>
      <c r="B198" s="14">
        <v>1</v>
      </c>
      <c r="C198" s="18">
        <f t="shared" si="2"/>
        <v>5.2631578947368418E-2</v>
      </c>
      <c r="D198" s="18">
        <f t="shared" si="3"/>
        <v>3.8461538461538464E-2</v>
      </c>
    </row>
    <row r="199" spans="1:4" x14ac:dyDescent="0.2">
      <c r="A199" s="3" t="s">
        <v>26</v>
      </c>
      <c r="B199" s="14">
        <v>8</v>
      </c>
      <c r="C199" s="18">
        <f t="shared" si="2"/>
        <v>0.42105263157894735</v>
      </c>
      <c r="D199" s="18">
        <f t="shared" si="3"/>
        <v>0.30769230769230771</v>
      </c>
    </row>
    <row r="200" spans="1:4" x14ac:dyDescent="0.2">
      <c r="A200" s="3" t="s">
        <v>27</v>
      </c>
      <c r="B200" s="14">
        <v>11</v>
      </c>
      <c r="C200" s="18">
        <f t="shared" si="2"/>
        <v>0.57894736842105265</v>
      </c>
      <c r="D200" s="18">
        <f t="shared" si="3"/>
        <v>0.42307692307692307</v>
      </c>
    </row>
    <row r="201" spans="1:4" x14ac:dyDescent="0.2">
      <c r="A201" s="3" t="s">
        <v>28</v>
      </c>
      <c r="B201" s="14">
        <v>6</v>
      </c>
      <c r="C201" s="18">
        <f t="shared" si="2"/>
        <v>0.31578947368421051</v>
      </c>
      <c r="D201" s="18">
        <f t="shared" si="3"/>
        <v>0.23076923076923078</v>
      </c>
    </row>
    <row r="202" spans="1:4" x14ac:dyDescent="0.2">
      <c r="A202" s="3" t="s">
        <v>29</v>
      </c>
      <c r="B202" s="14">
        <v>14</v>
      </c>
      <c r="C202" s="18">
        <f t="shared" si="2"/>
        <v>0.73684210526315785</v>
      </c>
      <c r="D202" s="18">
        <f t="shared" si="3"/>
        <v>0.53846153846153844</v>
      </c>
    </row>
    <row r="203" spans="1:4" x14ac:dyDescent="0.2">
      <c r="A203" s="3" t="s">
        <v>30</v>
      </c>
      <c r="B203" s="14">
        <v>12</v>
      </c>
      <c r="C203" s="18">
        <f t="shared" si="2"/>
        <v>0.63157894736842102</v>
      </c>
      <c r="D203" s="18">
        <f t="shared" si="3"/>
        <v>0.46153846153846156</v>
      </c>
    </row>
    <row r="204" spans="1:4" x14ac:dyDescent="0.2">
      <c r="A204" s="3" t="s">
        <v>31</v>
      </c>
      <c r="B204" s="14">
        <v>11</v>
      </c>
      <c r="C204" s="18">
        <f t="shared" si="2"/>
        <v>0.57894736842105265</v>
      </c>
      <c r="D204" s="18">
        <f t="shared" si="3"/>
        <v>0.42307692307692307</v>
      </c>
    </row>
    <row r="205" spans="1:4" ht="13.5" thickBot="1" x14ac:dyDescent="0.25">
      <c r="A205" s="3" t="s">
        <v>3</v>
      </c>
      <c r="B205" s="14">
        <v>1</v>
      </c>
      <c r="C205" s="18">
        <f t="shared" si="2"/>
        <v>5.2631578947368418E-2</v>
      </c>
      <c r="D205" s="18">
        <f t="shared" si="3"/>
        <v>3.8461538461538464E-2</v>
      </c>
    </row>
    <row r="206" spans="1:4" ht="16.5" thickTop="1" thickBot="1" x14ac:dyDescent="0.3">
      <c r="A206" s="92" t="s">
        <v>137</v>
      </c>
      <c r="B206">
        <f>SUM(B186:B205)</f>
        <v>172</v>
      </c>
      <c r="C206" s="93">
        <v>19</v>
      </c>
      <c r="D206">
        <v>26</v>
      </c>
    </row>
    <row r="207" spans="1:4" ht="13.5" thickTop="1" x14ac:dyDescent="0.2">
      <c r="A207" s="92" t="s">
        <v>93</v>
      </c>
      <c r="B207" s="95">
        <f>AVERAGE(B186:B205)</f>
        <v>8.6</v>
      </c>
      <c r="C207" s="94">
        <f>AVERAGE(C186:C205)</f>
        <v>0.45263157894736838</v>
      </c>
      <c r="D207" s="94">
        <f>AVERAGE(D186:D205)</f>
        <v>0.33076923076923082</v>
      </c>
    </row>
    <row r="214" spans="1:4" x14ac:dyDescent="0.2">
      <c r="A214" s="306" t="s">
        <v>36</v>
      </c>
      <c r="B214" s="307"/>
      <c r="C214" s="307"/>
      <c r="D214" s="21"/>
    </row>
    <row r="215" spans="1:4" x14ac:dyDescent="0.2">
      <c r="A215" s="3" t="s">
        <v>14</v>
      </c>
      <c r="B215" s="16">
        <v>24365</v>
      </c>
      <c r="C215" s="17">
        <f>B215/A$235</f>
        <v>8.09541055177707E-2</v>
      </c>
      <c r="D215" s="21"/>
    </row>
    <row r="216" spans="1:4" x14ac:dyDescent="0.2">
      <c r="A216" s="3" t="s">
        <v>15</v>
      </c>
      <c r="B216" s="14">
        <v>1367</v>
      </c>
      <c r="C216" s="17">
        <f t="shared" ref="C216:C234" si="4">B216/A$235</f>
        <v>4.5419356553577893E-3</v>
      </c>
      <c r="D216" s="21"/>
    </row>
    <row r="217" spans="1:4" x14ac:dyDescent="0.2">
      <c r="A217" s="3" t="s">
        <v>16</v>
      </c>
      <c r="B217" s="14">
        <v>997</v>
      </c>
      <c r="C217" s="17">
        <f t="shared" si="4"/>
        <v>3.3125895013838449E-3</v>
      </c>
      <c r="D217" s="21"/>
    </row>
    <row r="218" spans="1:4" x14ac:dyDescent="0.2">
      <c r="A218" s="3" t="s">
        <v>17</v>
      </c>
      <c r="B218" s="14">
        <v>779</v>
      </c>
      <c r="C218" s="17">
        <f t="shared" si="4"/>
        <v>2.5882720376910885E-3</v>
      </c>
      <c r="D218" s="21"/>
    </row>
    <row r="219" spans="1:4" x14ac:dyDescent="0.2">
      <c r="A219" s="3" t="s">
        <v>18</v>
      </c>
      <c r="B219" s="14">
        <v>58094</v>
      </c>
      <c r="C219" s="17">
        <f t="shared" si="4"/>
        <v>0.19302063640260089</v>
      </c>
      <c r="D219" s="21"/>
    </row>
    <row r="220" spans="1:4" x14ac:dyDescent="0.2">
      <c r="A220" s="3" t="s">
        <v>19</v>
      </c>
      <c r="B220" s="14">
        <v>666</v>
      </c>
      <c r="C220" s="17">
        <f t="shared" si="4"/>
        <v>2.2128230771530999E-3</v>
      </c>
      <c r="D220" s="21"/>
    </row>
    <row r="221" spans="1:4" x14ac:dyDescent="0.2">
      <c r="A221" s="3" t="s">
        <v>20</v>
      </c>
      <c r="B221" s="14">
        <v>1499</v>
      </c>
      <c r="C221" s="17">
        <f t="shared" si="4"/>
        <v>4.9805132021809263E-3</v>
      </c>
      <c r="D221" s="21"/>
    </row>
    <row r="222" spans="1:4" x14ac:dyDescent="0.2">
      <c r="A222" s="3" t="s">
        <v>21</v>
      </c>
      <c r="B222" s="14">
        <v>31724</v>
      </c>
      <c r="C222" s="17">
        <f t="shared" si="4"/>
        <v>0.10540480375316058</v>
      </c>
      <c r="D222" s="21"/>
    </row>
    <row r="223" spans="1:4" x14ac:dyDescent="0.2">
      <c r="A223" s="3" t="s">
        <v>22</v>
      </c>
      <c r="B223" s="14">
        <v>945</v>
      </c>
      <c r="C223" s="17">
        <f t="shared" si="4"/>
        <v>3.1398165283929125E-3</v>
      </c>
      <c r="D223" s="21"/>
    </row>
    <row r="224" spans="1:4" x14ac:dyDescent="0.2">
      <c r="A224" s="3" t="s">
        <v>23</v>
      </c>
      <c r="B224" s="14">
        <v>35151</v>
      </c>
      <c r="C224" s="17">
        <f t="shared" si="4"/>
        <v>0.11679120718469763</v>
      </c>
      <c r="D224" s="21"/>
    </row>
    <row r="225" spans="1:4" x14ac:dyDescent="0.2">
      <c r="A225" s="3" t="s">
        <v>24</v>
      </c>
      <c r="B225" s="14">
        <v>27253</v>
      </c>
      <c r="C225" s="17">
        <f t="shared" si="4"/>
        <v>9.0549650633113266E-2</v>
      </c>
      <c r="D225" s="21"/>
    </row>
    <row r="226" spans="1:4" x14ac:dyDescent="0.2">
      <c r="A226" s="3" t="s">
        <v>25</v>
      </c>
      <c r="B226" s="14">
        <v>498</v>
      </c>
      <c r="C226" s="17">
        <f t="shared" si="4"/>
        <v>1.6546334721054712E-3</v>
      </c>
      <c r="D226" s="21"/>
    </row>
    <row r="227" spans="1:4" x14ac:dyDescent="0.2">
      <c r="A227" s="3" t="s">
        <v>2</v>
      </c>
      <c r="B227" s="14">
        <v>230</v>
      </c>
      <c r="C227" s="17">
        <f t="shared" si="4"/>
        <v>7.6418814976758718E-4</v>
      </c>
      <c r="D227" s="21"/>
    </row>
    <row r="228" spans="1:4" x14ac:dyDescent="0.2">
      <c r="A228" s="3" t="s">
        <v>26</v>
      </c>
      <c r="B228" s="14">
        <v>120</v>
      </c>
      <c r="C228" s="17">
        <f t="shared" si="4"/>
        <v>3.9870686074830632E-4</v>
      </c>
      <c r="D228" s="21"/>
    </row>
    <row r="229" spans="1:4" x14ac:dyDescent="0.2">
      <c r="A229" s="3" t="s">
        <v>27</v>
      </c>
      <c r="B229" s="14">
        <v>8848</v>
      </c>
      <c r="C229" s="17">
        <f t="shared" si="4"/>
        <v>2.9397985865841785E-2</v>
      </c>
      <c r="D229" s="21"/>
    </row>
    <row r="230" spans="1:4" x14ac:dyDescent="0.2">
      <c r="A230" s="3" t="s">
        <v>28</v>
      </c>
      <c r="B230" s="14">
        <v>1132</v>
      </c>
      <c r="C230" s="17">
        <f t="shared" si="4"/>
        <v>3.7611347197256898E-3</v>
      </c>
      <c r="D230" s="21"/>
    </row>
    <row r="231" spans="1:4" x14ac:dyDescent="0.2">
      <c r="A231" s="3" t="s">
        <v>29</v>
      </c>
      <c r="B231" s="14">
        <v>5054</v>
      </c>
      <c r="C231" s="17">
        <f t="shared" si="4"/>
        <v>1.6792203951849501E-2</v>
      </c>
      <c r="D231" s="21"/>
    </row>
    <row r="232" spans="1:4" x14ac:dyDescent="0.2">
      <c r="A232" s="3" t="s">
        <v>30</v>
      </c>
      <c r="B232" s="14">
        <v>64352</v>
      </c>
      <c r="C232" s="17">
        <f t="shared" si="4"/>
        <v>0.21381319919062508</v>
      </c>
      <c r="D232" s="21"/>
    </row>
    <row r="233" spans="1:4" x14ac:dyDescent="0.2">
      <c r="A233" s="3" t="s">
        <v>31</v>
      </c>
      <c r="B233" s="14">
        <v>36647</v>
      </c>
      <c r="C233" s="17">
        <f t="shared" si="4"/>
        <v>0.12176175271535986</v>
      </c>
      <c r="D233" s="21"/>
    </row>
    <row r="234" spans="1:4" x14ac:dyDescent="0.2">
      <c r="A234" s="3" t="s">
        <v>3</v>
      </c>
      <c r="B234" s="14">
        <v>1252</v>
      </c>
      <c r="C234" s="17">
        <f t="shared" si="4"/>
        <v>4.1598415804739962E-3</v>
      </c>
      <c r="D234" s="21"/>
    </row>
    <row r="235" spans="1:4" x14ac:dyDescent="0.2">
      <c r="A235" s="313">
        <f>SUM(B215:B234)</f>
        <v>300973</v>
      </c>
      <c r="B235" s="314"/>
      <c r="C235" s="1"/>
      <c r="D235" s="22"/>
    </row>
    <row r="237" spans="1:4" x14ac:dyDescent="0.2">
      <c r="A237" s="6"/>
    </row>
    <row r="243" spans="1:4" x14ac:dyDescent="0.2">
      <c r="A243" s="306" t="s">
        <v>66</v>
      </c>
      <c r="B243" s="307"/>
      <c r="C243" s="307"/>
      <c r="D243" s="21"/>
    </row>
    <row r="244" spans="1:4" x14ac:dyDescent="0.2">
      <c r="A244" s="3" t="s">
        <v>14</v>
      </c>
      <c r="B244" s="16">
        <v>6417</v>
      </c>
      <c r="C244" s="17">
        <f>B244/A$264</f>
        <v>8.3760817637153928E-2</v>
      </c>
      <c r="D244" s="21"/>
    </row>
    <row r="245" spans="1:4" x14ac:dyDescent="0.2">
      <c r="A245" s="3" t="s">
        <v>15</v>
      </c>
      <c r="B245" s="14">
        <v>621</v>
      </c>
      <c r="C245" s="17">
        <f t="shared" ref="C245:C263" si="5">B245/A$264</f>
        <v>8.1058855777890911E-3</v>
      </c>
      <c r="D245" s="21"/>
    </row>
    <row r="246" spans="1:4" x14ac:dyDescent="0.2">
      <c r="A246" s="3" t="s">
        <v>16</v>
      </c>
      <c r="B246" s="14">
        <v>6</v>
      </c>
      <c r="C246" s="17">
        <f t="shared" si="5"/>
        <v>7.8317735051102317E-5</v>
      </c>
      <c r="D246" s="21"/>
    </row>
    <row r="247" spans="1:4" x14ac:dyDescent="0.2">
      <c r="A247" s="3" t="s">
        <v>17</v>
      </c>
      <c r="B247" s="14">
        <v>53</v>
      </c>
      <c r="C247" s="17">
        <f t="shared" si="5"/>
        <v>6.9180665961807056E-4</v>
      </c>
      <c r="D247" s="21"/>
    </row>
    <row r="248" spans="1:4" x14ac:dyDescent="0.2">
      <c r="A248" s="3" t="s">
        <v>18</v>
      </c>
      <c r="B248" s="14">
        <v>21429</v>
      </c>
      <c r="C248" s="17">
        <f t="shared" si="5"/>
        <v>0.27971179073501196</v>
      </c>
      <c r="D248" s="21"/>
    </row>
    <row r="249" spans="1:4" x14ac:dyDescent="0.2">
      <c r="A249" s="3" t="s">
        <v>19</v>
      </c>
      <c r="B249" s="14">
        <v>253</v>
      </c>
      <c r="C249" s="17">
        <f t="shared" si="5"/>
        <v>3.302397827988148E-3</v>
      </c>
      <c r="D249" s="21"/>
    </row>
    <row r="250" spans="1:4" x14ac:dyDescent="0.2">
      <c r="A250" s="3" t="s">
        <v>20</v>
      </c>
      <c r="B250" s="14">
        <v>11</v>
      </c>
      <c r="C250" s="17">
        <f t="shared" si="5"/>
        <v>1.4358251426035425E-4</v>
      </c>
      <c r="D250" s="21"/>
    </row>
    <row r="251" spans="1:4" x14ac:dyDescent="0.2">
      <c r="A251" s="3" t="s">
        <v>21</v>
      </c>
      <c r="B251" s="14">
        <v>14690</v>
      </c>
      <c r="C251" s="17">
        <f t="shared" si="5"/>
        <v>0.19174792131678217</v>
      </c>
      <c r="D251" s="21"/>
    </row>
    <row r="252" spans="1:4" x14ac:dyDescent="0.2">
      <c r="A252" s="3" t="s">
        <v>22</v>
      </c>
      <c r="B252" s="14">
        <v>446</v>
      </c>
      <c r="C252" s="17">
        <f t="shared" si="5"/>
        <v>5.8216183054652726E-3</v>
      </c>
      <c r="D252" s="21"/>
    </row>
    <row r="253" spans="1:4" x14ac:dyDescent="0.2">
      <c r="A253" s="3" t="s">
        <v>23</v>
      </c>
      <c r="B253" s="14">
        <v>20377</v>
      </c>
      <c r="C253" s="17">
        <f t="shared" si="5"/>
        <v>0.26598008118938532</v>
      </c>
      <c r="D253" s="21"/>
    </row>
    <row r="254" spans="1:4" x14ac:dyDescent="0.2">
      <c r="A254" s="3" t="s">
        <v>24</v>
      </c>
      <c r="B254" s="14">
        <v>7275</v>
      </c>
      <c r="C254" s="17">
        <f t="shared" si="5"/>
        <v>9.4960253749461571E-2</v>
      </c>
      <c r="D254" s="21"/>
    </row>
    <row r="255" spans="1:4" x14ac:dyDescent="0.2">
      <c r="A255" s="3" t="s">
        <v>25</v>
      </c>
      <c r="B255" s="14">
        <v>6</v>
      </c>
      <c r="C255" s="17">
        <f t="shared" si="5"/>
        <v>7.8317735051102317E-5</v>
      </c>
      <c r="D255" s="21"/>
    </row>
    <row r="256" spans="1:4" x14ac:dyDescent="0.2">
      <c r="A256" s="3" t="s">
        <v>2</v>
      </c>
      <c r="B256" s="14">
        <v>0</v>
      </c>
      <c r="C256" s="17">
        <f t="shared" si="5"/>
        <v>0</v>
      </c>
      <c r="D256" s="21"/>
    </row>
    <row r="257" spans="1:4" x14ac:dyDescent="0.2">
      <c r="A257" s="3" t="s">
        <v>26</v>
      </c>
      <c r="B257" s="14">
        <v>2</v>
      </c>
      <c r="C257" s="17">
        <f t="shared" si="5"/>
        <v>2.6105911683700774E-5</v>
      </c>
      <c r="D257" s="21"/>
    </row>
    <row r="258" spans="1:4" x14ac:dyDescent="0.2">
      <c r="A258" s="3" t="s">
        <v>27</v>
      </c>
      <c r="B258" s="14">
        <v>37</v>
      </c>
      <c r="C258" s="17">
        <f t="shared" si="5"/>
        <v>4.8295936614846434E-4</v>
      </c>
      <c r="D258" s="21"/>
    </row>
    <row r="259" spans="1:4" x14ac:dyDescent="0.2">
      <c r="A259" s="3" t="s">
        <v>28</v>
      </c>
      <c r="B259" s="14">
        <v>41</v>
      </c>
      <c r="C259" s="17">
        <f t="shared" si="5"/>
        <v>5.3517118951586587E-4</v>
      </c>
      <c r="D259" s="21"/>
    </row>
    <row r="260" spans="1:4" x14ac:dyDescent="0.2">
      <c r="A260" s="3" t="s">
        <v>29</v>
      </c>
      <c r="B260" s="14">
        <v>1567</v>
      </c>
      <c r="C260" s="17">
        <f t="shared" si="5"/>
        <v>2.0453981804179556E-2</v>
      </c>
      <c r="D260" s="21"/>
    </row>
    <row r="261" spans="1:4" x14ac:dyDescent="0.2">
      <c r="A261" s="3" t="s">
        <v>30</v>
      </c>
      <c r="B261" s="14">
        <v>3313</v>
      </c>
      <c r="C261" s="17">
        <f t="shared" si="5"/>
        <v>4.3244442704050333E-2</v>
      </c>
      <c r="D261" s="21"/>
    </row>
    <row r="262" spans="1:4" x14ac:dyDescent="0.2">
      <c r="A262" s="3" t="s">
        <v>31</v>
      </c>
      <c r="B262" s="14">
        <v>46</v>
      </c>
      <c r="C262" s="17">
        <f t="shared" si="5"/>
        <v>6.0043596872511778E-4</v>
      </c>
      <c r="D262" s="21"/>
    </row>
    <row r="263" spans="1:4" x14ac:dyDescent="0.2">
      <c r="A263" s="3" t="s">
        <v>3</v>
      </c>
      <c r="B263" s="14">
        <v>21</v>
      </c>
      <c r="C263" s="17">
        <f t="shared" si="5"/>
        <v>2.7411207267885812E-4</v>
      </c>
      <c r="D263" s="21"/>
    </row>
    <row r="264" spans="1:4" x14ac:dyDescent="0.2">
      <c r="A264" s="313">
        <f>SUM(B244:B263)</f>
        <v>76611</v>
      </c>
      <c r="B264" s="314"/>
      <c r="C264" s="1"/>
      <c r="D264" s="22"/>
    </row>
    <row r="266" spans="1:4" x14ac:dyDescent="0.2">
      <c r="A266" s="6"/>
    </row>
    <row r="272" spans="1:4" x14ac:dyDescent="0.2">
      <c r="A272" s="306" t="s">
        <v>67</v>
      </c>
      <c r="B272" s="307"/>
      <c r="C272" s="307"/>
      <c r="D272" s="21"/>
    </row>
    <row r="273" spans="1:4" x14ac:dyDescent="0.2">
      <c r="A273" s="3" t="s">
        <v>14</v>
      </c>
      <c r="B273" s="16">
        <v>11314</v>
      </c>
      <c r="C273" s="17">
        <f>B273/A$293</f>
        <v>0.22223968257086174</v>
      </c>
      <c r="D273" s="21"/>
    </row>
    <row r="274" spans="1:4" x14ac:dyDescent="0.2">
      <c r="A274" s="3" t="s">
        <v>15</v>
      </c>
      <c r="B274" s="14">
        <v>67</v>
      </c>
      <c r="C274" s="17">
        <f t="shared" ref="C274:C292" si="6">B274/A$293</f>
        <v>1.3160737787031762E-3</v>
      </c>
      <c r="D274" s="21"/>
    </row>
    <row r="275" spans="1:4" x14ac:dyDescent="0.2">
      <c r="A275" s="3" t="s">
        <v>16</v>
      </c>
      <c r="B275" s="14">
        <v>0</v>
      </c>
      <c r="C275" s="17">
        <f t="shared" si="6"/>
        <v>0</v>
      </c>
      <c r="D275" s="21"/>
    </row>
    <row r="276" spans="1:4" x14ac:dyDescent="0.2">
      <c r="A276" s="3" t="s">
        <v>17</v>
      </c>
      <c r="B276" s="14">
        <v>258</v>
      </c>
      <c r="C276" s="17">
        <f t="shared" si="6"/>
        <v>5.0678661926182008E-3</v>
      </c>
      <c r="D276" s="21"/>
    </row>
    <row r="277" spans="1:4" x14ac:dyDescent="0.2">
      <c r="A277" s="3" t="s">
        <v>18</v>
      </c>
      <c r="B277" s="14">
        <v>21646</v>
      </c>
      <c r="C277" s="17">
        <f t="shared" si="6"/>
        <v>0.42519004498222318</v>
      </c>
      <c r="D277" s="21"/>
    </row>
    <row r="278" spans="1:4" x14ac:dyDescent="0.2">
      <c r="A278" s="3" t="s">
        <v>19</v>
      </c>
      <c r="B278" s="14">
        <v>2</v>
      </c>
      <c r="C278" s="17">
        <f t="shared" si="6"/>
        <v>3.9285784438900786E-5</v>
      </c>
      <c r="D278" s="21"/>
    </row>
    <row r="279" spans="1:4" x14ac:dyDescent="0.2">
      <c r="A279" s="3" t="s">
        <v>20</v>
      </c>
      <c r="B279" s="14">
        <v>8</v>
      </c>
      <c r="C279" s="17">
        <f t="shared" si="6"/>
        <v>1.5714313775560314E-4</v>
      </c>
      <c r="D279" s="21"/>
    </row>
    <row r="280" spans="1:4" x14ac:dyDescent="0.2">
      <c r="A280" s="3" t="s">
        <v>21</v>
      </c>
      <c r="B280" s="14">
        <v>596</v>
      </c>
      <c r="C280" s="17">
        <f t="shared" si="6"/>
        <v>1.1707163762792433E-2</v>
      </c>
      <c r="D280" s="21"/>
    </row>
    <row r="281" spans="1:4" x14ac:dyDescent="0.2">
      <c r="A281" s="3" t="s">
        <v>22</v>
      </c>
      <c r="B281" s="14">
        <v>108</v>
      </c>
      <c r="C281" s="17">
        <f t="shared" si="6"/>
        <v>2.1214323597006425E-3</v>
      </c>
      <c r="D281" s="21"/>
    </row>
    <row r="282" spans="1:4" x14ac:dyDescent="0.2">
      <c r="A282" s="3" t="s">
        <v>23</v>
      </c>
      <c r="B282" s="14">
        <v>4487</v>
      </c>
      <c r="C282" s="17">
        <f t="shared" si="6"/>
        <v>8.8137657388673907E-2</v>
      </c>
      <c r="D282" s="21"/>
    </row>
    <row r="283" spans="1:4" x14ac:dyDescent="0.2">
      <c r="A283" s="3" t="s">
        <v>24</v>
      </c>
      <c r="B283" s="14">
        <v>10770</v>
      </c>
      <c r="C283" s="17">
        <f t="shared" si="6"/>
        <v>0.21155394920348072</v>
      </c>
      <c r="D283" s="21"/>
    </row>
    <row r="284" spans="1:4" x14ac:dyDescent="0.2">
      <c r="A284" s="3" t="s">
        <v>25</v>
      </c>
      <c r="B284" s="14">
        <v>0</v>
      </c>
      <c r="C284" s="17">
        <f t="shared" si="6"/>
        <v>0</v>
      </c>
      <c r="D284" s="21"/>
    </row>
    <row r="285" spans="1:4" x14ac:dyDescent="0.2">
      <c r="A285" s="3" t="s">
        <v>2</v>
      </c>
      <c r="B285" s="14">
        <v>0</v>
      </c>
      <c r="C285" s="17">
        <f t="shared" si="6"/>
        <v>0</v>
      </c>
      <c r="D285" s="21"/>
    </row>
    <row r="286" spans="1:4" x14ac:dyDescent="0.2">
      <c r="A286" s="3" t="s">
        <v>26</v>
      </c>
      <c r="B286" s="14">
        <v>35</v>
      </c>
      <c r="C286" s="17">
        <f t="shared" si="6"/>
        <v>6.8750122768076376E-4</v>
      </c>
      <c r="D286" s="21"/>
    </row>
    <row r="287" spans="1:4" x14ac:dyDescent="0.2">
      <c r="A287" s="3" t="s">
        <v>27</v>
      </c>
      <c r="B287" s="14">
        <v>47</v>
      </c>
      <c r="C287" s="17">
        <f t="shared" si="6"/>
        <v>9.2321593431416837E-4</v>
      </c>
      <c r="D287" s="21"/>
    </row>
    <row r="288" spans="1:4" x14ac:dyDescent="0.2">
      <c r="A288" s="3" t="s">
        <v>28</v>
      </c>
      <c r="B288" s="14">
        <v>28</v>
      </c>
      <c r="C288" s="17">
        <f t="shared" si="6"/>
        <v>5.5000098214461101E-4</v>
      </c>
      <c r="D288" s="21"/>
    </row>
    <row r="289" spans="1:20" x14ac:dyDescent="0.2">
      <c r="A289" s="3" t="s">
        <v>29</v>
      </c>
      <c r="B289" s="14">
        <v>561</v>
      </c>
      <c r="C289" s="17">
        <f t="shared" si="6"/>
        <v>1.101966253511167E-2</v>
      </c>
      <c r="D289" s="21"/>
    </row>
    <row r="290" spans="1:20" x14ac:dyDescent="0.2">
      <c r="A290" s="3" t="s">
        <v>30</v>
      </c>
      <c r="B290" s="14">
        <v>771</v>
      </c>
      <c r="C290" s="17">
        <f t="shared" si="6"/>
        <v>1.5144669901196253E-2</v>
      </c>
      <c r="D290" s="21"/>
    </row>
    <row r="291" spans="1:20" x14ac:dyDescent="0.2">
      <c r="A291" s="3" t="s">
        <v>31</v>
      </c>
      <c r="B291" s="14">
        <v>211</v>
      </c>
      <c r="C291" s="17">
        <f t="shared" si="6"/>
        <v>4.1446502583040324E-3</v>
      </c>
      <c r="D291" s="21"/>
    </row>
    <row r="292" spans="1:20" x14ac:dyDescent="0.2">
      <c r="A292" s="3" t="s">
        <v>3</v>
      </c>
      <c r="B292" s="14">
        <v>0</v>
      </c>
      <c r="C292" s="17">
        <f t="shared" si="6"/>
        <v>0</v>
      </c>
      <c r="D292" s="21"/>
    </row>
    <row r="293" spans="1:20" x14ac:dyDescent="0.2">
      <c r="A293" s="313">
        <f>SUM(B273:B292)</f>
        <v>50909</v>
      </c>
      <c r="B293" s="314"/>
      <c r="C293" s="1"/>
      <c r="D293" s="22"/>
    </row>
    <row r="295" spans="1:20" x14ac:dyDescent="0.2">
      <c r="A295" s="6"/>
    </row>
    <row r="301" spans="1:20" x14ac:dyDescent="0.2">
      <c r="A301" s="308" t="s">
        <v>97</v>
      </c>
      <c r="B301" s="309"/>
      <c r="C301" s="309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x14ac:dyDescent="0.2">
      <c r="A302" s="32" t="s">
        <v>14</v>
      </c>
      <c r="B302" s="49">
        <v>2162</v>
      </c>
      <c r="C302" s="51">
        <f>B302/A$322</f>
        <v>4.5559910650313985E-2</v>
      </c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</row>
    <row r="303" spans="1:20" x14ac:dyDescent="0.2">
      <c r="A303" s="32" t="s">
        <v>15</v>
      </c>
      <c r="B303" s="36">
        <v>242</v>
      </c>
      <c r="C303" s="51">
        <f t="shared" ref="C303:C321" si="7">B303/A$322</f>
        <v>5.0996754751970333E-3</v>
      </c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</row>
    <row r="304" spans="1:20" x14ac:dyDescent="0.2">
      <c r="A304" s="32" t="s">
        <v>16</v>
      </c>
      <c r="B304" s="36">
        <v>100</v>
      </c>
      <c r="C304" s="51">
        <f t="shared" si="7"/>
        <v>2.1073039153706747E-3</v>
      </c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</row>
    <row r="305" spans="1:20" x14ac:dyDescent="0.2">
      <c r="A305" s="32" t="s">
        <v>17</v>
      </c>
      <c r="B305" s="36">
        <v>29</v>
      </c>
      <c r="C305" s="51">
        <f t="shared" si="7"/>
        <v>6.1111813545749571E-4</v>
      </c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</row>
    <row r="306" spans="1:20" x14ac:dyDescent="0.2">
      <c r="A306" s="32" t="s">
        <v>18</v>
      </c>
      <c r="B306" s="36">
        <v>6867</v>
      </c>
      <c r="C306" s="51">
        <f t="shared" si="7"/>
        <v>0.14470855986850423</v>
      </c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</row>
    <row r="307" spans="1:20" x14ac:dyDescent="0.2">
      <c r="A307" s="32" t="s">
        <v>19</v>
      </c>
      <c r="B307" s="36">
        <v>160</v>
      </c>
      <c r="C307" s="51">
        <f t="shared" si="7"/>
        <v>3.3716862645930797E-3</v>
      </c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</row>
    <row r="308" spans="1:20" x14ac:dyDescent="0.2">
      <c r="A308" s="32" t="s">
        <v>20</v>
      </c>
      <c r="B308" s="36">
        <v>394</v>
      </c>
      <c r="C308" s="51">
        <f t="shared" si="7"/>
        <v>8.3027774265604579E-3</v>
      </c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</row>
    <row r="309" spans="1:20" x14ac:dyDescent="0.2">
      <c r="A309" s="32" t="s">
        <v>21</v>
      </c>
      <c r="B309" s="36">
        <v>2562</v>
      </c>
      <c r="C309" s="51">
        <f t="shared" si="7"/>
        <v>5.3989126311796684E-2</v>
      </c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</row>
    <row r="310" spans="1:20" x14ac:dyDescent="0.2">
      <c r="A310" s="32" t="s">
        <v>22</v>
      </c>
      <c r="B310" s="36">
        <v>165</v>
      </c>
      <c r="C310" s="51">
        <f t="shared" si="7"/>
        <v>3.4770514603616135E-3</v>
      </c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</row>
    <row r="311" spans="1:20" x14ac:dyDescent="0.2">
      <c r="A311" s="32" t="s">
        <v>23</v>
      </c>
      <c r="B311" s="36">
        <v>2949</v>
      </c>
      <c r="C311" s="51">
        <f t="shared" si="7"/>
        <v>6.2144392464281197E-2</v>
      </c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</row>
    <row r="312" spans="1:20" x14ac:dyDescent="0.2">
      <c r="A312" s="32" t="s">
        <v>24</v>
      </c>
      <c r="B312" s="36">
        <v>2322</v>
      </c>
      <c r="C312" s="51">
        <f t="shared" si="7"/>
        <v>4.8931596914907068E-2</v>
      </c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</row>
    <row r="313" spans="1:20" x14ac:dyDescent="0.2">
      <c r="A313" s="32" t="s">
        <v>25</v>
      </c>
      <c r="B313" s="36">
        <v>109</v>
      </c>
      <c r="C313" s="51">
        <f t="shared" si="7"/>
        <v>2.2969612677540357E-3</v>
      </c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</row>
    <row r="314" spans="1:20" x14ac:dyDescent="0.2">
      <c r="A314" s="32" t="s">
        <v>2</v>
      </c>
      <c r="B314" s="36">
        <v>53</v>
      </c>
      <c r="C314" s="51">
        <f t="shared" si="7"/>
        <v>1.1168710751464576E-3</v>
      </c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</row>
    <row r="315" spans="1:20" x14ac:dyDescent="0.2">
      <c r="A315" s="32" t="s">
        <v>26</v>
      </c>
      <c r="B315" s="36">
        <v>24</v>
      </c>
      <c r="C315" s="51">
        <f t="shared" si="7"/>
        <v>5.0575293968896189E-4</v>
      </c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</row>
    <row r="316" spans="1:20" x14ac:dyDescent="0.2">
      <c r="A316" s="32" t="s">
        <v>27</v>
      </c>
      <c r="B316" s="36">
        <v>2556</v>
      </c>
      <c r="C316" s="51">
        <f t="shared" si="7"/>
        <v>5.386268807687445E-2</v>
      </c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</row>
    <row r="317" spans="1:20" x14ac:dyDescent="0.2">
      <c r="A317" s="32" t="s">
        <v>28</v>
      </c>
      <c r="B317" s="36">
        <v>382</v>
      </c>
      <c r="C317" s="51">
        <f t="shared" si="7"/>
        <v>8.0499009567159777E-3</v>
      </c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</row>
    <row r="318" spans="1:20" x14ac:dyDescent="0.2">
      <c r="A318" s="32" t="s">
        <v>29</v>
      </c>
      <c r="B318" s="36">
        <v>436</v>
      </c>
      <c r="C318" s="51">
        <f t="shared" si="7"/>
        <v>9.1878450710161427E-3</v>
      </c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</row>
    <row r="319" spans="1:20" x14ac:dyDescent="0.2">
      <c r="A319" s="32" t="s">
        <v>30</v>
      </c>
      <c r="B319" s="36">
        <v>19572</v>
      </c>
      <c r="C319" s="51">
        <f t="shared" si="7"/>
        <v>0.41244152231634845</v>
      </c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</row>
    <row r="320" spans="1:20" x14ac:dyDescent="0.2">
      <c r="A320" s="32" t="s">
        <v>31</v>
      </c>
      <c r="B320" s="36">
        <v>6058</v>
      </c>
      <c r="C320" s="51">
        <f t="shared" si="7"/>
        <v>0.12766047119315549</v>
      </c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</row>
    <row r="321" spans="1:21" x14ac:dyDescent="0.2">
      <c r="A321" s="32" t="s">
        <v>3</v>
      </c>
      <c r="B321" s="36">
        <v>312</v>
      </c>
      <c r="C321" s="51">
        <f t="shared" si="7"/>
        <v>6.5747882159565051E-3</v>
      </c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</row>
    <row r="322" spans="1:21" x14ac:dyDescent="0.2">
      <c r="A322" s="310">
        <f>SUM(B302:B321)</f>
        <v>47454</v>
      </c>
      <c r="B322" s="311"/>
      <c r="C322" s="42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</row>
    <row r="323" spans="1:21" x14ac:dyDescent="0.2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</row>
    <row r="324" spans="1:21" x14ac:dyDescent="0.2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</row>
    <row r="325" spans="1:21" x14ac:dyDescent="0.2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 spans="1:21" x14ac:dyDescent="0.2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</row>
    <row r="327" spans="1:21" x14ac:dyDescent="0.2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</row>
    <row r="328" spans="1:21" x14ac:dyDescent="0.2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</row>
    <row r="331" spans="1:21" s="27" customFormat="1" ht="15.75" thickBot="1" x14ac:dyDescent="0.3">
      <c r="B331" s="70" t="s">
        <v>102</v>
      </c>
      <c r="C331" s="312" t="s">
        <v>104</v>
      </c>
      <c r="D331" s="312"/>
      <c r="E331" s="312"/>
      <c r="F331" s="312"/>
      <c r="G331" s="312"/>
      <c r="H331" s="312"/>
      <c r="I331" s="312"/>
      <c r="J331" s="312"/>
      <c r="K331" s="312"/>
      <c r="L331" s="312"/>
      <c r="M331" s="312"/>
      <c r="N331" s="312"/>
      <c r="O331" s="69" t="s">
        <v>103</v>
      </c>
      <c r="P331" s="69" t="s">
        <v>105</v>
      </c>
      <c r="T331"/>
      <c r="U331"/>
    </row>
    <row r="332" spans="1:21" s="27" customFormat="1" ht="15" x14ac:dyDescent="0.25">
      <c r="B332" s="129">
        <v>2012</v>
      </c>
      <c r="C332" s="288" t="s">
        <v>106</v>
      </c>
      <c r="D332" s="289"/>
      <c r="E332" s="289"/>
      <c r="F332" s="289"/>
      <c r="G332" s="289"/>
      <c r="H332" s="289"/>
      <c r="I332" s="289"/>
      <c r="J332" s="289"/>
      <c r="K332" s="289"/>
      <c r="L332" s="289"/>
      <c r="M332" s="289"/>
      <c r="N332" s="289"/>
      <c r="O332" s="131">
        <v>20655</v>
      </c>
      <c r="P332" s="102">
        <f t="shared" ref="P332:P358" si="8">O332/O$359</f>
        <v>0.40878324889170359</v>
      </c>
      <c r="Q332" s="297">
        <f>SUM(P332:P334)</f>
        <v>0.82332568081063962</v>
      </c>
      <c r="R332" s="298">
        <f>Q332</f>
        <v>0.82332568081063962</v>
      </c>
      <c r="T332"/>
      <c r="U332"/>
    </row>
    <row r="333" spans="1:21" s="27" customFormat="1" ht="15" x14ac:dyDescent="0.25">
      <c r="B333" s="129">
        <v>2012</v>
      </c>
      <c r="C333" s="290" t="s">
        <v>107</v>
      </c>
      <c r="D333" s="291"/>
      <c r="E333" s="291"/>
      <c r="F333" s="291"/>
      <c r="G333" s="291"/>
      <c r="H333" s="291"/>
      <c r="I333" s="291"/>
      <c r="J333" s="291"/>
      <c r="K333" s="291"/>
      <c r="L333" s="291"/>
      <c r="M333" s="291"/>
      <c r="N333" s="291"/>
      <c r="O333" s="58">
        <v>20810</v>
      </c>
      <c r="P333" s="79">
        <f t="shared" si="8"/>
        <v>0.41185085497150092</v>
      </c>
      <c r="Q333" s="286"/>
      <c r="R333" s="298"/>
      <c r="T333"/>
      <c r="U333"/>
    </row>
    <row r="334" spans="1:21" s="27" customFormat="1" ht="15.75" thickBot="1" x14ac:dyDescent="0.3">
      <c r="B334" s="129">
        <v>2012</v>
      </c>
      <c r="C334" s="299" t="s">
        <v>108</v>
      </c>
      <c r="D334" s="300"/>
      <c r="E334" s="300"/>
      <c r="F334" s="300"/>
      <c r="G334" s="300"/>
      <c r="H334" s="300"/>
      <c r="I334" s="300"/>
      <c r="J334" s="300"/>
      <c r="K334" s="300"/>
      <c r="L334" s="300"/>
      <c r="M334" s="300"/>
      <c r="N334" s="300"/>
      <c r="O334" s="132">
        <v>136</v>
      </c>
      <c r="P334" s="103">
        <f t="shared" si="8"/>
        <v>2.6915769474350855E-3</v>
      </c>
      <c r="Q334" s="287"/>
      <c r="R334" s="298"/>
      <c r="T334"/>
      <c r="U334"/>
    </row>
    <row r="335" spans="1:21" s="27" customFormat="1" ht="15" x14ac:dyDescent="0.25">
      <c r="B335" s="129">
        <v>2012</v>
      </c>
      <c r="C335" s="301" t="s">
        <v>109</v>
      </c>
      <c r="D335" s="302"/>
      <c r="E335" s="302"/>
      <c r="F335" s="302"/>
      <c r="G335" s="302"/>
      <c r="H335" s="302"/>
      <c r="I335" s="302"/>
      <c r="J335" s="302"/>
      <c r="K335" s="302"/>
      <c r="L335" s="302"/>
      <c r="M335" s="302"/>
      <c r="N335" s="302"/>
      <c r="O335" s="130">
        <v>734</v>
      </c>
      <c r="P335" s="101">
        <f t="shared" si="8"/>
        <v>1.4526599113362888E-2</v>
      </c>
      <c r="Q335" s="285">
        <f>SUM(P335:P346)</f>
        <v>1.8504591513616216E-2</v>
      </c>
      <c r="R335" s="298">
        <f>SUM(P335:P358)</f>
        <v>0.17667431918936036</v>
      </c>
      <c r="T335"/>
      <c r="U335"/>
    </row>
    <row r="336" spans="1:21" s="27" customFormat="1" ht="15" x14ac:dyDescent="0.25">
      <c r="B336" s="129">
        <v>2012</v>
      </c>
      <c r="C336" s="303" t="s">
        <v>110</v>
      </c>
      <c r="D336" s="304"/>
      <c r="E336" s="304"/>
      <c r="F336" s="304"/>
      <c r="G336" s="304"/>
      <c r="H336" s="304"/>
      <c r="I336" s="304"/>
      <c r="J336" s="304"/>
      <c r="K336" s="304"/>
      <c r="L336" s="304"/>
      <c r="M336" s="304"/>
      <c r="N336" s="304"/>
      <c r="O336" s="58">
        <v>41</v>
      </c>
      <c r="P336" s="79">
        <f t="shared" si="8"/>
        <v>8.1143128562381252E-4</v>
      </c>
      <c r="Q336" s="286"/>
      <c r="R336" s="298"/>
      <c r="T336"/>
      <c r="U336"/>
    </row>
    <row r="337" spans="2:21" s="27" customFormat="1" ht="15" x14ac:dyDescent="0.25">
      <c r="B337" s="129">
        <v>2012</v>
      </c>
      <c r="C337" s="290" t="s">
        <v>111</v>
      </c>
      <c r="D337" s="291"/>
      <c r="E337" s="291"/>
      <c r="F337" s="291"/>
      <c r="G337" s="291"/>
      <c r="H337" s="291"/>
      <c r="I337" s="291"/>
      <c r="J337" s="291"/>
      <c r="K337" s="291"/>
      <c r="L337" s="291"/>
      <c r="M337" s="291"/>
      <c r="N337" s="291"/>
      <c r="O337" s="58">
        <v>14</v>
      </c>
      <c r="P337" s="79">
        <f t="shared" si="8"/>
        <v>2.7707409753008236E-4</v>
      </c>
      <c r="Q337" s="286"/>
      <c r="R337" s="298"/>
      <c r="T337"/>
      <c r="U337"/>
    </row>
    <row r="338" spans="2:21" s="27" customFormat="1" ht="15" x14ac:dyDescent="0.25">
      <c r="B338" s="129">
        <v>2012</v>
      </c>
      <c r="C338" s="290" t="s">
        <v>112</v>
      </c>
      <c r="D338" s="291"/>
      <c r="E338" s="291"/>
      <c r="F338" s="291"/>
      <c r="G338" s="291"/>
      <c r="H338" s="291"/>
      <c r="I338" s="291"/>
      <c r="J338" s="291"/>
      <c r="K338" s="291"/>
      <c r="L338" s="291"/>
      <c r="M338" s="291"/>
      <c r="N338" s="291"/>
      <c r="O338" s="58">
        <v>21</v>
      </c>
      <c r="P338" s="79">
        <f t="shared" si="8"/>
        <v>4.1561114629512351E-4</v>
      </c>
      <c r="Q338" s="286"/>
      <c r="R338" s="298"/>
      <c r="T338"/>
      <c r="U338"/>
    </row>
    <row r="339" spans="2:21" s="27" customFormat="1" ht="15" x14ac:dyDescent="0.25">
      <c r="B339" s="129">
        <v>2012</v>
      </c>
      <c r="C339" s="290" t="s">
        <v>113</v>
      </c>
      <c r="D339" s="291"/>
      <c r="E339" s="291"/>
      <c r="F339" s="291"/>
      <c r="G339" s="291"/>
      <c r="H339" s="291"/>
      <c r="I339" s="291"/>
      <c r="J339" s="291"/>
      <c r="K339" s="291"/>
      <c r="L339" s="291"/>
      <c r="M339" s="291"/>
      <c r="N339" s="291"/>
      <c r="O339" s="58">
        <v>17</v>
      </c>
      <c r="P339" s="79">
        <f t="shared" si="8"/>
        <v>3.3644711842938568E-4</v>
      </c>
      <c r="Q339" s="286"/>
      <c r="R339" s="298"/>
      <c r="T339"/>
      <c r="U339"/>
    </row>
    <row r="340" spans="2:21" s="27" customFormat="1" ht="15" x14ac:dyDescent="0.25">
      <c r="B340" s="129">
        <v>2012</v>
      </c>
      <c r="C340" s="290" t="s">
        <v>114</v>
      </c>
      <c r="D340" s="291"/>
      <c r="E340" s="291"/>
      <c r="F340" s="291"/>
      <c r="G340" s="291"/>
      <c r="H340" s="291"/>
      <c r="I340" s="291"/>
      <c r="J340" s="291"/>
      <c r="K340" s="291"/>
      <c r="L340" s="291"/>
      <c r="M340" s="291"/>
      <c r="N340" s="291"/>
      <c r="O340" s="58">
        <v>69</v>
      </c>
      <c r="P340" s="79">
        <f t="shared" si="8"/>
        <v>1.3655794806839772E-3</v>
      </c>
      <c r="Q340" s="286"/>
      <c r="R340" s="298"/>
      <c r="T340"/>
      <c r="U340"/>
    </row>
    <row r="341" spans="2:21" s="27" customFormat="1" ht="15" x14ac:dyDescent="0.25">
      <c r="B341" s="129">
        <v>2012</v>
      </c>
      <c r="C341" s="290" t="s">
        <v>115</v>
      </c>
      <c r="D341" s="291"/>
      <c r="E341" s="291"/>
      <c r="F341" s="291"/>
      <c r="G341" s="291"/>
      <c r="H341" s="291"/>
      <c r="I341" s="291"/>
      <c r="J341" s="291"/>
      <c r="K341" s="291"/>
      <c r="L341" s="291"/>
      <c r="M341" s="291"/>
      <c r="N341" s="291"/>
      <c r="O341" s="58">
        <v>17</v>
      </c>
      <c r="P341" s="79">
        <f t="shared" si="8"/>
        <v>3.3644711842938568E-4</v>
      </c>
      <c r="Q341" s="286"/>
      <c r="R341" s="298"/>
      <c r="T341"/>
      <c r="U341"/>
    </row>
    <row r="342" spans="2:21" s="27" customFormat="1" ht="15" x14ac:dyDescent="0.25">
      <c r="B342" s="129">
        <v>2012</v>
      </c>
      <c r="C342" s="296" t="s">
        <v>147</v>
      </c>
      <c r="D342" s="305"/>
      <c r="E342" s="305"/>
      <c r="F342" s="305"/>
      <c r="G342" s="305"/>
      <c r="H342" s="305"/>
      <c r="I342" s="305"/>
      <c r="J342" s="305"/>
      <c r="K342" s="305"/>
      <c r="L342" s="305"/>
      <c r="M342" s="305"/>
      <c r="N342" s="305"/>
      <c r="O342" s="58">
        <v>1</v>
      </c>
      <c r="P342" s="79">
        <f t="shared" si="8"/>
        <v>1.9791006966434452E-5</v>
      </c>
      <c r="Q342" s="286"/>
      <c r="R342" s="298"/>
      <c r="T342"/>
      <c r="U342"/>
    </row>
    <row r="343" spans="2:21" s="27" customFormat="1" ht="15" x14ac:dyDescent="0.25">
      <c r="B343" s="129">
        <v>2012</v>
      </c>
      <c r="C343" s="290" t="s">
        <v>118</v>
      </c>
      <c r="D343" s="291"/>
      <c r="E343" s="291"/>
      <c r="F343" s="291"/>
      <c r="G343" s="291"/>
      <c r="H343" s="291"/>
      <c r="I343" s="291"/>
      <c r="J343" s="291"/>
      <c r="K343" s="291"/>
      <c r="L343" s="291"/>
      <c r="M343" s="291"/>
      <c r="N343" s="291"/>
      <c r="O343" s="58">
        <v>14</v>
      </c>
      <c r="P343" s="79">
        <f t="shared" si="8"/>
        <v>2.7707409753008236E-4</v>
      </c>
      <c r="Q343" s="286"/>
      <c r="R343" s="298"/>
      <c r="T343"/>
      <c r="U343"/>
    </row>
    <row r="344" spans="2:21" s="27" customFormat="1" ht="15" x14ac:dyDescent="0.25">
      <c r="B344" s="129">
        <v>2012</v>
      </c>
      <c r="C344" s="290" t="s">
        <v>119</v>
      </c>
      <c r="D344" s="291"/>
      <c r="E344" s="291"/>
      <c r="F344" s="291"/>
      <c r="G344" s="291"/>
      <c r="H344" s="291"/>
      <c r="I344" s="291"/>
      <c r="J344" s="291"/>
      <c r="K344" s="291"/>
      <c r="L344" s="291"/>
      <c r="M344" s="291"/>
      <c r="N344" s="291"/>
      <c r="O344" s="58">
        <v>1</v>
      </c>
      <c r="P344" s="79">
        <f t="shared" si="8"/>
        <v>1.9791006966434452E-5</v>
      </c>
      <c r="Q344" s="286"/>
      <c r="R344" s="298"/>
      <c r="T344"/>
      <c r="U344"/>
    </row>
    <row r="345" spans="2:21" s="27" customFormat="1" ht="15" x14ac:dyDescent="0.25">
      <c r="B345" s="129">
        <v>2012</v>
      </c>
      <c r="C345" s="290" t="s">
        <v>144</v>
      </c>
      <c r="D345" s="291"/>
      <c r="E345" s="291"/>
      <c r="F345" s="291"/>
      <c r="G345" s="291"/>
      <c r="H345" s="291"/>
      <c r="I345" s="291"/>
      <c r="J345" s="291"/>
      <c r="K345" s="291"/>
      <c r="L345" s="291"/>
      <c r="M345" s="291"/>
      <c r="N345" s="291"/>
      <c r="O345" s="58">
        <v>1</v>
      </c>
      <c r="P345" s="79">
        <f t="shared" si="8"/>
        <v>1.9791006966434452E-5</v>
      </c>
      <c r="Q345" s="286"/>
      <c r="R345" s="298"/>
      <c r="T345"/>
      <c r="U345"/>
    </row>
    <row r="346" spans="2:21" s="27" customFormat="1" ht="15.75" thickBot="1" x14ac:dyDescent="0.3">
      <c r="B346" s="129">
        <v>2012</v>
      </c>
      <c r="C346" s="299" t="s">
        <v>145</v>
      </c>
      <c r="D346" s="300"/>
      <c r="E346" s="300"/>
      <c r="F346" s="300"/>
      <c r="G346" s="300"/>
      <c r="H346" s="300"/>
      <c r="I346" s="300"/>
      <c r="J346" s="300"/>
      <c r="K346" s="300"/>
      <c r="L346" s="300"/>
      <c r="M346" s="300"/>
      <c r="N346" s="300"/>
      <c r="O346" s="132">
        <v>5</v>
      </c>
      <c r="P346" s="103">
        <f t="shared" si="8"/>
        <v>9.8955034832172266E-5</v>
      </c>
      <c r="Q346" s="287"/>
      <c r="R346" s="298"/>
      <c r="T346"/>
      <c r="U346"/>
    </row>
    <row r="347" spans="2:21" s="27" customFormat="1" ht="15" x14ac:dyDescent="0.25">
      <c r="B347" s="129">
        <v>2012</v>
      </c>
      <c r="C347" s="288" t="s">
        <v>120</v>
      </c>
      <c r="D347" s="289"/>
      <c r="E347" s="289"/>
      <c r="F347" s="289"/>
      <c r="G347" s="289"/>
      <c r="H347" s="289"/>
      <c r="I347" s="289"/>
      <c r="J347" s="289"/>
      <c r="K347" s="289"/>
      <c r="L347" s="289"/>
      <c r="M347" s="289"/>
      <c r="N347" s="289"/>
      <c r="O347" s="131">
        <v>21</v>
      </c>
      <c r="P347" s="102">
        <f t="shared" si="8"/>
        <v>4.1561114629512351E-4</v>
      </c>
      <c r="Q347" s="297">
        <f>SUM(P347:P357)</f>
        <v>1.4645345155161497E-3</v>
      </c>
      <c r="R347" s="298"/>
      <c r="T347"/>
      <c r="U347"/>
    </row>
    <row r="348" spans="2:21" s="27" customFormat="1" ht="15" x14ac:dyDescent="0.25">
      <c r="B348" s="129">
        <v>2012</v>
      </c>
      <c r="C348" s="290" t="s">
        <v>121</v>
      </c>
      <c r="D348" s="291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58">
        <v>7</v>
      </c>
      <c r="P348" s="79">
        <f t="shared" si="8"/>
        <v>1.3853704876504118E-4</v>
      </c>
      <c r="Q348" s="286"/>
      <c r="R348" s="298"/>
      <c r="T348"/>
      <c r="U348"/>
    </row>
    <row r="349" spans="2:21" s="27" customFormat="1" ht="15" x14ac:dyDescent="0.25">
      <c r="B349" s="129">
        <v>2012</v>
      </c>
      <c r="C349" s="303" t="s">
        <v>122</v>
      </c>
      <c r="D349" s="304"/>
      <c r="E349" s="304"/>
      <c r="F349" s="304"/>
      <c r="G349" s="304"/>
      <c r="H349" s="304"/>
      <c r="I349" s="304"/>
      <c r="J349" s="304"/>
      <c r="K349" s="304"/>
      <c r="L349" s="304"/>
      <c r="M349" s="304"/>
      <c r="N349" s="304"/>
      <c r="O349" s="58">
        <v>1</v>
      </c>
      <c r="P349" s="79">
        <f t="shared" si="8"/>
        <v>1.9791006966434452E-5</v>
      </c>
      <c r="Q349" s="286"/>
      <c r="R349" s="298"/>
      <c r="T349"/>
      <c r="U349"/>
    </row>
    <row r="350" spans="2:21" s="27" customFormat="1" ht="15" x14ac:dyDescent="0.25">
      <c r="B350" s="129">
        <v>2012</v>
      </c>
      <c r="C350" s="290" t="s">
        <v>123</v>
      </c>
      <c r="D350" s="291"/>
      <c r="E350" s="291"/>
      <c r="F350" s="291"/>
      <c r="G350" s="291"/>
      <c r="H350" s="291"/>
      <c r="I350" s="291"/>
      <c r="J350" s="291"/>
      <c r="K350" s="291"/>
      <c r="L350" s="291"/>
      <c r="M350" s="291"/>
      <c r="N350" s="291"/>
      <c r="O350" s="58">
        <v>17</v>
      </c>
      <c r="P350" s="79">
        <f t="shared" si="8"/>
        <v>3.3644711842938568E-4</v>
      </c>
      <c r="Q350" s="286"/>
      <c r="R350" s="298"/>
      <c r="T350"/>
      <c r="U350"/>
    </row>
    <row r="351" spans="2:21" s="27" customFormat="1" ht="15" x14ac:dyDescent="0.25">
      <c r="B351" s="129">
        <v>2012</v>
      </c>
      <c r="C351" s="303" t="s">
        <v>124</v>
      </c>
      <c r="D351" s="304"/>
      <c r="E351" s="304"/>
      <c r="F351" s="304"/>
      <c r="G351" s="304"/>
      <c r="H351" s="304"/>
      <c r="I351" s="304"/>
      <c r="J351" s="304"/>
      <c r="K351" s="304"/>
      <c r="L351" s="304"/>
      <c r="M351" s="304"/>
      <c r="N351" s="304"/>
      <c r="O351" s="58">
        <v>10</v>
      </c>
      <c r="P351" s="79">
        <f t="shared" si="8"/>
        <v>1.9791006966434453E-4</v>
      </c>
      <c r="Q351" s="286"/>
      <c r="R351" s="298"/>
      <c r="T351"/>
      <c r="U351"/>
    </row>
    <row r="352" spans="2:21" s="27" customFormat="1" ht="15" x14ac:dyDescent="0.25">
      <c r="B352" s="129">
        <v>2012</v>
      </c>
      <c r="C352" s="290" t="s">
        <v>126</v>
      </c>
      <c r="D352" s="291"/>
      <c r="E352" s="291"/>
      <c r="F352" s="291"/>
      <c r="G352" s="291"/>
      <c r="H352" s="291"/>
      <c r="I352" s="291"/>
      <c r="J352" s="291"/>
      <c r="K352" s="291"/>
      <c r="L352" s="291"/>
      <c r="M352" s="291"/>
      <c r="N352" s="291"/>
      <c r="O352" s="58">
        <v>9</v>
      </c>
      <c r="P352" s="79">
        <f t="shared" si="8"/>
        <v>1.7811906269791006E-4</v>
      </c>
      <c r="Q352" s="286"/>
      <c r="R352" s="298"/>
      <c r="T352"/>
      <c r="U352"/>
    </row>
    <row r="353" spans="1:21" s="27" customFormat="1" ht="15" x14ac:dyDescent="0.25">
      <c r="B353" s="129">
        <v>2012</v>
      </c>
      <c r="C353" s="290" t="s">
        <v>127</v>
      </c>
      <c r="D353" s="291"/>
      <c r="E353" s="291"/>
      <c r="F353" s="291"/>
      <c r="G353" s="291"/>
      <c r="H353" s="291"/>
      <c r="I353" s="291"/>
      <c r="J353" s="291"/>
      <c r="K353" s="291"/>
      <c r="L353" s="291"/>
      <c r="M353" s="291"/>
      <c r="N353" s="291"/>
      <c r="O353" s="58">
        <v>1</v>
      </c>
      <c r="P353" s="79">
        <f t="shared" si="8"/>
        <v>1.9791006966434452E-5</v>
      </c>
      <c r="Q353" s="286"/>
      <c r="R353" s="298"/>
      <c r="T353"/>
      <c r="U353"/>
    </row>
    <row r="354" spans="1:21" s="27" customFormat="1" ht="15" x14ac:dyDescent="0.25">
      <c r="B354" s="129">
        <v>2012</v>
      </c>
      <c r="C354" s="303" t="s">
        <v>128</v>
      </c>
      <c r="D354" s="304"/>
      <c r="E354" s="304"/>
      <c r="F354" s="304"/>
      <c r="G354" s="304"/>
      <c r="H354" s="304"/>
      <c r="I354" s="304"/>
      <c r="J354" s="304"/>
      <c r="K354" s="304"/>
      <c r="L354" s="304"/>
      <c r="M354" s="304"/>
      <c r="N354" s="304"/>
      <c r="O354" s="58">
        <v>2</v>
      </c>
      <c r="P354" s="79">
        <f t="shared" si="8"/>
        <v>3.9582013932868905E-5</v>
      </c>
      <c r="Q354" s="286"/>
      <c r="R354" s="298"/>
      <c r="T354"/>
      <c r="U354"/>
    </row>
    <row r="355" spans="1:21" s="27" customFormat="1" ht="15" x14ac:dyDescent="0.25">
      <c r="B355" s="129">
        <v>2012</v>
      </c>
      <c r="C355" s="303" t="s">
        <v>133</v>
      </c>
      <c r="D355" s="304"/>
      <c r="E355" s="304"/>
      <c r="F355" s="304"/>
      <c r="G355" s="304"/>
      <c r="H355" s="304"/>
      <c r="I355" s="304"/>
      <c r="J355" s="304"/>
      <c r="K355" s="304"/>
      <c r="L355" s="304"/>
      <c r="M355" s="304"/>
      <c r="N355" s="304"/>
      <c r="O355" s="58">
        <v>2</v>
      </c>
      <c r="P355" s="79">
        <f t="shared" si="8"/>
        <v>3.9582013932868905E-5</v>
      </c>
      <c r="Q355" s="286"/>
      <c r="R355" s="298"/>
      <c r="T355"/>
      <c r="U355"/>
    </row>
    <row r="356" spans="1:21" s="27" customFormat="1" ht="15" x14ac:dyDescent="0.25">
      <c r="B356" s="129">
        <v>2012</v>
      </c>
      <c r="C356" s="296" t="s">
        <v>148</v>
      </c>
      <c r="D356" s="291"/>
      <c r="E356" s="291"/>
      <c r="F356" s="291"/>
      <c r="G356" s="291"/>
      <c r="H356" s="291"/>
      <c r="I356" s="291"/>
      <c r="J356" s="291"/>
      <c r="K356" s="291"/>
      <c r="L356" s="291"/>
      <c r="M356" s="291"/>
      <c r="N356" s="291"/>
      <c r="O356" s="58">
        <v>1</v>
      </c>
      <c r="P356" s="79">
        <f t="shared" si="8"/>
        <v>1.9791006966434452E-5</v>
      </c>
      <c r="Q356" s="286"/>
      <c r="R356" s="298"/>
      <c r="T356"/>
      <c r="U356"/>
    </row>
    <row r="357" spans="1:21" s="27" customFormat="1" ht="15.75" thickBot="1" x14ac:dyDescent="0.3">
      <c r="B357" s="129">
        <v>2012</v>
      </c>
      <c r="C357" s="294" t="s">
        <v>129</v>
      </c>
      <c r="D357" s="295"/>
      <c r="E357" s="295"/>
      <c r="F357" s="295"/>
      <c r="G357" s="295"/>
      <c r="H357" s="295"/>
      <c r="I357" s="295"/>
      <c r="J357" s="295"/>
      <c r="K357" s="295"/>
      <c r="L357" s="295"/>
      <c r="M357" s="295"/>
      <c r="N357" s="295"/>
      <c r="O357" s="132">
        <v>3</v>
      </c>
      <c r="P357" s="103">
        <f t="shared" si="8"/>
        <v>5.9373020899303354E-5</v>
      </c>
      <c r="Q357" s="287"/>
      <c r="R357" s="298"/>
      <c r="T357"/>
      <c r="U357"/>
    </row>
    <row r="358" spans="1:21" s="27" customFormat="1" ht="15.75" thickBot="1" x14ac:dyDescent="0.3">
      <c r="B358" s="129">
        <v>2012</v>
      </c>
      <c r="C358" s="292" t="s">
        <v>131</v>
      </c>
      <c r="D358" s="293"/>
      <c r="E358" s="293"/>
      <c r="F358" s="293"/>
      <c r="G358" s="293"/>
      <c r="H358" s="293"/>
      <c r="I358" s="293"/>
      <c r="J358" s="293"/>
      <c r="K358" s="293"/>
      <c r="L358" s="293"/>
      <c r="M358" s="293"/>
      <c r="N358" s="293"/>
      <c r="O358" s="133">
        <v>7918</v>
      </c>
      <c r="P358" s="105">
        <f t="shared" si="8"/>
        <v>0.15670519316022799</v>
      </c>
      <c r="Q358" s="106">
        <f>P358</f>
        <v>0.15670519316022799</v>
      </c>
      <c r="R358" s="298"/>
      <c r="T358"/>
      <c r="U358"/>
    </row>
    <row r="359" spans="1:21" s="27" customFormat="1" ht="15" x14ac:dyDescent="0.25">
      <c r="B359" s="128"/>
      <c r="C359" s="284" t="s">
        <v>134</v>
      </c>
      <c r="D359" s="284"/>
      <c r="E359" s="284"/>
      <c r="F359" s="284"/>
      <c r="G359" s="284"/>
      <c r="H359" s="284"/>
      <c r="I359" s="284"/>
      <c r="J359" s="284"/>
      <c r="K359" s="284"/>
      <c r="L359" s="284"/>
      <c r="M359" s="284"/>
      <c r="N359" s="284"/>
      <c r="O359" s="104">
        <f>SUM(O332:O358)</f>
        <v>50528</v>
      </c>
      <c r="P359" s="101">
        <f>SUM(P332:P358)</f>
        <v>0.99999999999999989</v>
      </c>
      <c r="Q359" s="101">
        <f t="shared" ref="Q359:R359" si="9">SUM(Q332:Q358)</f>
        <v>1</v>
      </c>
      <c r="R359" s="101">
        <f t="shared" si="9"/>
        <v>1</v>
      </c>
      <c r="T359"/>
      <c r="U359"/>
    </row>
    <row r="360" spans="1:21" s="27" customFormat="1" x14ac:dyDescent="0.2">
      <c r="B360" s="32"/>
      <c r="S360"/>
      <c r="T360"/>
      <c r="U360"/>
    </row>
    <row r="361" spans="1:21" s="27" customFormat="1" x14ac:dyDescent="0.2">
      <c r="S361"/>
      <c r="T361"/>
      <c r="U361"/>
    </row>
    <row r="363" spans="1:21" ht="30" x14ac:dyDescent="0.25">
      <c r="A363" s="161" t="s">
        <v>168</v>
      </c>
      <c r="B363" s="161" t="s">
        <v>171</v>
      </c>
      <c r="C363" s="161" t="s">
        <v>169</v>
      </c>
      <c r="D363" s="161" t="s">
        <v>43</v>
      </c>
    </row>
    <row r="364" spans="1:21" ht="15" x14ac:dyDescent="0.25">
      <c r="A364" s="160" t="s">
        <v>14</v>
      </c>
      <c r="B364" s="159">
        <v>24</v>
      </c>
      <c r="C364" s="162">
        <f>B364/D364</f>
        <v>1.0719071013845467E-2</v>
      </c>
      <c r="D364" s="159">
        <v>2239</v>
      </c>
    </row>
    <row r="365" spans="1:21" ht="15" x14ac:dyDescent="0.25">
      <c r="A365" s="160" t="s">
        <v>15</v>
      </c>
      <c r="B365" s="159">
        <v>4</v>
      </c>
      <c r="C365" s="162">
        <f t="shared" ref="C365:C380" si="10">B365/D365</f>
        <v>1.6129032258064516E-2</v>
      </c>
      <c r="D365" s="159">
        <v>248</v>
      </c>
    </row>
    <row r="366" spans="1:21" ht="15" x14ac:dyDescent="0.25">
      <c r="A366" s="160" t="s">
        <v>16</v>
      </c>
      <c r="B366" s="159">
        <v>14</v>
      </c>
      <c r="C366" s="162">
        <f t="shared" si="10"/>
        <v>0.12173913043478261</v>
      </c>
      <c r="D366" s="159">
        <v>115</v>
      </c>
    </row>
    <row r="367" spans="1:21" ht="15" x14ac:dyDescent="0.25">
      <c r="A367" s="160" t="s">
        <v>18</v>
      </c>
      <c r="B367" s="159">
        <v>1070</v>
      </c>
      <c r="C367" s="162">
        <f t="shared" si="10"/>
        <v>0.13661899897854954</v>
      </c>
      <c r="D367" s="159">
        <v>7832</v>
      </c>
    </row>
    <row r="368" spans="1:21" ht="15" x14ac:dyDescent="0.25">
      <c r="A368" s="160" t="s">
        <v>19</v>
      </c>
      <c r="B368" s="159">
        <v>11</v>
      </c>
      <c r="C368" s="162">
        <f t="shared" si="10"/>
        <v>5.9139784946236562E-2</v>
      </c>
      <c r="D368" s="159">
        <v>186</v>
      </c>
    </row>
    <row r="369" spans="1:4" ht="15" x14ac:dyDescent="0.25">
      <c r="A369" s="160" t="s">
        <v>20</v>
      </c>
      <c r="B369" s="159">
        <v>7</v>
      </c>
      <c r="C369" s="162">
        <f t="shared" si="10"/>
        <v>1.7412935323383085E-2</v>
      </c>
      <c r="D369" s="159">
        <v>402</v>
      </c>
    </row>
    <row r="370" spans="1:4" ht="15" x14ac:dyDescent="0.25">
      <c r="A370" s="160" t="s">
        <v>21</v>
      </c>
      <c r="B370" s="159">
        <v>344</v>
      </c>
      <c r="C370" s="162">
        <f t="shared" si="10"/>
        <v>0.12202908832919475</v>
      </c>
      <c r="D370" s="159">
        <v>2819</v>
      </c>
    </row>
    <row r="371" spans="1:4" ht="15" x14ac:dyDescent="0.25">
      <c r="A371" s="160" t="s">
        <v>23</v>
      </c>
      <c r="B371" s="159">
        <v>194</v>
      </c>
      <c r="C371" s="162">
        <f t="shared" si="10"/>
        <v>6.1509194673430564E-2</v>
      </c>
      <c r="D371" s="159">
        <v>3154</v>
      </c>
    </row>
    <row r="372" spans="1:4" ht="15" x14ac:dyDescent="0.25">
      <c r="A372" s="160" t="s">
        <v>24</v>
      </c>
      <c r="B372" s="159">
        <v>151</v>
      </c>
      <c r="C372" s="162">
        <f t="shared" si="10"/>
        <v>6.3100710405348939E-2</v>
      </c>
      <c r="D372" s="159">
        <v>2393</v>
      </c>
    </row>
    <row r="373" spans="1:4" ht="15" x14ac:dyDescent="0.25">
      <c r="A373" s="160" t="s">
        <v>25</v>
      </c>
      <c r="B373" s="159">
        <v>134</v>
      </c>
      <c r="C373" s="162">
        <f t="shared" si="10"/>
        <v>0.56540084388185652</v>
      </c>
      <c r="D373" s="159">
        <v>237</v>
      </c>
    </row>
    <row r="374" spans="1:4" ht="15" x14ac:dyDescent="0.25">
      <c r="A374" s="160" t="s">
        <v>2</v>
      </c>
      <c r="B374" s="159">
        <v>95</v>
      </c>
      <c r="C374" s="162">
        <f t="shared" si="10"/>
        <v>0.5757575757575758</v>
      </c>
      <c r="D374" s="159">
        <v>165</v>
      </c>
    </row>
    <row r="375" spans="1:4" ht="15" x14ac:dyDescent="0.25">
      <c r="A375" s="160" t="s">
        <v>27</v>
      </c>
      <c r="B375" s="159">
        <v>137</v>
      </c>
      <c r="C375" s="162">
        <f t="shared" si="10"/>
        <v>5.2051671732522793E-2</v>
      </c>
      <c r="D375" s="159">
        <v>2632</v>
      </c>
    </row>
    <row r="376" spans="1:4" ht="15" x14ac:dyDescent="0.25">
      <c r="A376" s="160" t="s">
        <v>28</v>
      </c>
      <c r="B376" s="159">
        <v>57</v>
      </c>
      <c r="C376" s="162">
        <f t="shared" si="10"/>
        <v>0.13411764705882354</v>
      </c>
      <c r="D376" s="159">
        <v>425</v>
      </c>
    </row>
    <row r="377" spans="1:4" ht="15" x14ac:dyDescent="0.25">
      <c r="A377" s="160" t="s">
        <v>29</v>
      </c>
      <c r="B377" s="159">
        <v>41</v>
      </c>
      <c r="C377" s="162">
        <f t="shared" si="10"/>
        <v>8.8937093275488072E-2</v>
      </c>
      <c r="D377" s="159">
        <v>461</v>
      </c>
    </row>
    <row r="378" spans="1:4" ht="15" x14ac:dyDescent="0.25">
      <c r="A378" s="160" t="s">
        <v>30</v>
      </c>
      <c r="B378" s="159">
        <v>1367</v>
      </c>
      <c r="C378" s="162">
        <f t="shared" si="10"/>
        <v>6.7446220643378726E-2</v>
      </c>
      <c r="D378" s="159">
        <v>20268</v>
      </c>
    </row>
    <row r="379" spans="1:4" ht="15" x14ac:dyDescent="0.25">
      <c r="A379" s="160" t="s">
        <v>31</v>
      </c>
      <c r="B379" s="159">
        <v>1239</v>
      </c>
      <c r="C379" s="162">
        <f t="shared" si="10"/>
        <v>0.18271641350833209</v>
      </c>
      <c r="D379" s="159">
        <v>6781</v>
      </c>
    </row>
    <row r="380" spans="1:4" ht="15" x14ac:dyDescent="0.25">
      <c r="A380" s="160" t="s">
        <v>3</v>
      </c>
      <c r="B380" s="159">
        <v>30</v>
      </c>
      <c r="C380" s="162">
        <f t="shared" si="10"/>
        <v>9.8039215686274508E-2</v>
      </c>
      <c r="D380" s="159">
        <v>306</v>
      </c>
    </row>
  </sheetData>
  <mergeCells count="95">
    <mergeCell ref="A164:E164"/>
    <mergeCell ref="A168:C168"/>
    <mergeCell ref="A172:C172"/>
    <mergeCell ref="A179:E179"/>
    <mergeCell ref="A180:E180"/>
    <mergeCell ref="A181:E181"/>
    <mergeCell ref="A173:C173"/>
    <mergeCell ref="A174:C174"/>
    <mergeCell ref="A176:G176"/>
    <mergeCell ref="A177:E177"/>
    <mergeCell ref="A178:E178"/>
    <mergeCell ref="A145:E145"/>
    <mergeCell ref="A146:C146"/>
    <mergeCell ref="A147:C147"/>
    <mergeCell ref="A148:C148"/>
    <mergeCell ref="A243:C243"/>
    <mergeCell ref="A235:B235"/>
    <mergeCell ref="A150:E150"/>
    <mergeCell ref="A151:C151"/>
    <mergeCell ref="A152:C152"/>
    <mergeCell ref="A153:C153"/>
    <mergeCell ref="A157:E157"/>
    <mergeCell ref="A158:C158"/>
    <mergeCell ref="A159:C159"/>
    <mergeCell ref="A160:C160"/>
    <mergeCell ref="A161:C161"/>
    <mergeCell ref="A171:E171"/>
    <mergeCell ref="B128:E128"/>
    <mergeCell ref="B133:E133"/>
    <mergeCell ref="B129:E129"/>
    <mergeCell ref="B130:E130"/>
    <mergeCell ref="B131:E131"/>
    <mergeCell ref="B132:E132"/>
    <mergeCell ref="B134:E134"/>
    <mergeCell ref="A135:E135"/>
    <mergeCell ref="C3:H3"/>
    <mergeCell ref="C8:H8"/>
    <mergeCell ref="C10:H10"/>
    <mergeCell ref="C11:H11"/>
    <mergeCell ref="C9:H9"/>
    <mergeCell ref="A53:B53"/>
    <mergeCell ref="A14:C14"/>
    <mergeCell ref="A73:D73"/>
    <mergeCell ref="A122:G122"/>
    <mergeCell ref="B123:E123"/>
    <mergeCell ref="B124:E124"/>
    <mergeCell ref="B125:E125"/>
    <mergeCell ref="B126:E126"/>
    <mergeCell ref="B127:E127"/>
    <mergeCell ref="A2:H2"/>
    <mergeCell ref="C4:H4"/>
    <mergeCell ref="C5:H5"/>
    <mergeCell ref="C6:H6"/>
    <mergeCell ref="C7:H7"/>
    <mergeCell ref="A184:D184"/>
    <mergeCell ref="A301:C301"/>
    <mergeCell ref="A322:B322"/>
    <mergeCell ref="C331:N331"/>
    <mergeCell ref="C332:N332"/>
    <mergeCell ref="A214:C214"/>
    <mergeCell ref="A264:B264"/>
    <mergeCell ref="A272:C272"/>
    <mergeCell ref="A293:B293"/>
    <mergeCell ref="Q332:Q334"/>
    <mergeCell ref="R332:R334"/>
    <mergeCell ref="C333:N333"/>
    <mergeCell ref="C334:N334"/>
    <mergeCell ref="C335:N335"/>
    <mergeCell ref="R335:R358"/>
    <mergeCell ref="C344:N344"/>
    <mergeCell ref="C345:N345"/>
    <mergeCell ref="C346:N346"/>
    <mergeCell ref="C336:N336"/>
    <mergeCell ref="C342:N342"/>
    <mergeCell ref="Q347:Q357"/>
    <mergeCell ref="C349:N349"/>
    <mergeCell ref="C351:N351"/>
    <mergeCell ref="C354:N354"/>
    <mergeCell ref="C355:N355"/>
    <mergeCell ref="C359:N359"/>
    <mergeCell ref="Q335:Q346"/>
    <mergeCell ref="C347:N347"/>
    <mergeCell ref="C348:N348"/>
    <mergeCell ref="C350:N350"/>
    <mergeCell ref="C352:N352"/>
    <mergeCell ref="C353:N353"/>
    <mergeCell ref="C358:N358"/>
    <mergeCell ref="C337:N337"/>
    <mergeCell ref="C338:N338"/>
    <mergeCell ref="C339:N339"/>
    <mergeCell ref="C340:N340"/>
    <mergeCell ref="C341:N341"/>
    <mergeCell ref="C343:N343"/>
    <mergeCell ref="C357:N357"/>
    <mergeCell ref="C356:N356"/>
  </mergeCells>
  <phoneticPr fontId="26" type="noConversion"/>
  <pageMargins left="0.25" right="0.25" top="0.75" bottom="0.75" header="0.3" footer="0.3"/>
  <pageSetup paperSize="9" scale="73" fitToHeight="0" orientation="landscape" horizontalDpi="4294967295" verticalDpi="4294967295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453"/>
  <sheetViews>
    <sheetView zoomScaleNormal="100" workbookViewId="0">
      <selection activeCell="A2" sqref="A2"/>
    </sheetView>
  </sheetViews>
  <sheetFormatPr defaultRowHeight="12.75" x14ac:dyDescent="0.2"/>
  <cols>
    <col min="1" max="1" width="4.7109375" style="27" customWidth="1"/>
    <col min="2" max="3" width="7.28515625" style="27" customWidth="1"/>
    <col min="4" max="4" width="7.85546875" style="27" customWidth="1"/>
    <col min="5" max="5" width="9.140625" style="27"/>
    <col min="6" max="6" width="9" style="27" customWidth="1"/>
    <col min="7" max="16384" width="9.140625" style="27"/>
  </cols>
  <sheetData>
    <row r="1" spans="1:11" ht="20.25" thickBot="1" x14ac:dyDescent="0.35">
      <c r="A1" s="215" t="s">
        <v>180</v>
      </c>
    </row>
    <row r="2" spans="1:11" ht="16.5" thickTop="1" thickBot="1" x14ac:dyDescent="0.3">
      <c r="A2" s="86" t="s">
        <v>136</v>
      </c>
      <c r="B2" s="85"/>
      <c r="C2" s="359" t="s">
        <v>135</v>
      </c>
      <c r="D2" s="341"/>
      <c r="E2" s="341"/>
      <c r="F2" s="341"/>
      <c r="G2" s="341"/>
      <c r="H2" s="341"/>
      <c r="I2" s="341"/>
    </row>
    <row r="3" spans="1:11" ht="13.5" thickTop="1" x14ac:dyDescent="0.2">
      <c r="A3" s="28" t="s">
        <v>80</v>
      </c>
      <c r="B3" s="29">
        <v>20</v>
      </c>
      <c r="C3" s="347" t="s">
        <v>81</v>
      </c>
      <c r="D3" s="347"/>
      <c r="E3" s="347"/>
      <c r="F3" s="347"/>
      <c r="G3" s="347"/>
      <c r="H3" s="347"/>
      <c r="I3" s="347"/>
      <c r="J3" s="30"/>
      <c r="K3" s="30"/>
    </row>
    <row r="4" spans="1:11" x14ac:dyDescent="0.2">
      <c r="A4" s="28" t="s">
        <v>83</v>
      </c>
      <c r="B4" s="29">
        <v>21</v>
      </c>
      <c r="C4" s="347" t="s">
        <v>82</v>
      </c>
      <c r="D4" s="347"/>
      <c r="E4" s="347"/>
      <c r="F4" s="347"/>
      <c r="G4" s="347"/>
      <c r="H4" s="347"/>
      <c r="I4" s="347"/>
      <c r="J4" s="30"/>
      <c r="K4" s="30"/>
    </row>
    <row r="5" spans="1:11" x14ac:dyDescent="0.2">
      <c r="A5" s="28" t="s">
        <v>84</v>
      </c>
      <c r="B5" s="29">
        <v>22</v>
      </c>
      <c r="C5" s="347" t="s">
        <v>85</v>
      </c>
      <c r="D5" s="347"/>
      <c r="E5" s="347"/>
      <c r="F5" s="347"/>
      <c r="G5" s="347"/>
      <c r="H5" s="347"/>
      <c r="I5" s="347"/>
      <c r="J5" s="30"/>
      <c r="K5" s="30"/>
    </row>
    <row r="6" spans="1:11" x14ac:dyDescent="0.2">
      <c r="A6" s="28" t="s">
        <v>32</v>
      </c>
      <c r="B6" s="29">
        <f t="shared" ref="B6" si="0">B5</f>
        <v>22</v>
      </c>
      <c r="C6" s="347"/>
      <c r="D6" s="347"/>
      <c r="E6" s="347"/>
      <c r="F6" s="347"/>
      <c r="G6" s="347"/>
      <c r="H6" s="347"/>
      <c r="I6" s="347"/>
      <c r="J6" s="30"/>
      <c r="K6" s="30"/>
    </row>
    <row r="7" spans="1:11" x14ac:dyDescent="0.2">
      <c r="A7" s="31" t="s">
        <v>4</v>
      </c>
      <c r="B7" s="29">
        <v>22</v>
      </c>
      <c r="C7" s="347"/>
      <c r="D7" s="347"/>
      <c r="E7" s="347"/>
      <c r="F7" s="347"/>
      <c r="G7" s="347"/>
      <c r="H7" s="347"/>
      <c r="I7" s="347"/>
      <c r="J7" s="30"/>
      <c r="K7" s="30"/>
    </row>
    <row r="8" spans="1:11" x14ac:dyDescent="0.2">
      <c r="A8" s="31" t="s">
        <v>5</v>
      </c>
      <c r="B8" s="29">
        <v>22</v>
      </c>
      <c r="C8" s="347"/>
      <c r="D8" s="347"/>
      <c r="E8" s="347"/>
      <c r="F8" s="347"/>
      <c r="G8" s="347"/>
      <c r="H8" s="347"/>
      <c r="I8" s="347"/>
    </row>
    <row r="9" spans="1:11" x14ac:dyDescent="0.2">
      <c r="A9" s="32" t="s">
        <v>6</v>
      </c>
      <c r="B9" s="29">
        <v>23</v>
      </c>
      <c r="C9" s="347" t="s">
        <v>95</v>
      </c>
      <c r="D9" s="347"/>
      <c r="E9" s="347"/>
      <c r="F9" s="347"/>
      <c r="G9" s="347"/>
      <c r="H9" s="347"/>
      <c r="I9" s="347"/>
    </row>
    <row r="10" spans="1:11" x14ac:dyDescent="0.2">
      <c r="A10" s="32" t="s">
        <v>7</v>
      </c>
      <c r="B10" s="29">
        <v>24</v>
      </c>
      <c r="C10" s="347" t="s">
        <v>96</v>
      </c>
      <c r="D10" s="347"/>
      <c r="E10" s="347"/>
      <c r="F10" s="347"/>
      <c r="G10" s="347"/>
      <c r="H10" s="347"/>
      <c r="I10" s="347"/>
    </row>
    <row r="11" spans="1:11" x14ac:dyDescent="0.2">
      <c r="A11" s="32" t="s">
        <v>8</v>
      </c>
      <c r="B11" s="29">
        <v>25</v>
      </c>
      <c r="C11" s="347" t="s">
        <v>98</v>
      </c>
      <c r="D11" s="347"/>
      <c r="E11" s="347"/>
      <c r="F11" s="347"/>
      <c r="G11" s="347"/>
      <c r="H11" s="347"/>
      <c r="I11" s="347"/>
    </row>
    <row r="12" spans="1:11" x14ac:dyDescent="0.2">
      <c r="A12" s="32" t="s">
        <v>9</v>
      </c>
      <c r="B12" s="29">
        <v>25</v>
      </c>
      <c r="C12" s="347"/>
      <c r="D12" s="347"/>
      <c r="E12" s="347"/>
      <c r="F12" s="347"/>
      <c r="G12" s="347"/>
      <c r="H12" s="347"/>
      <c r="I12" s="347"/>
    </row>
    <row r="13" spans="1:11" x14ac:dyDescent="0.2">
      <c r="A13" s="32" t="s">
        <v>10</v>
      </c>
      <c r="B13" s="29">
        <v>25</v>
      </c>
      <c r="C13" s="347"/>
      <c r="D13" s="347"/>
      <c r="E13" s="347"/>
      <c r="F13" s="347"/>
      <c r="G13" s="347"/>
      <c r="H13" s="347"/>
      <c r="I13" s="347"/>
    </row>
    <row r="14" spans="1:11" x14ac:dyDescent="0.2">
      <c r="A14" s="32" t="s">
        <v>12</v>
      </c>
      <c r="B14" s="29">
        <v>25</v>
      </c>
      <c r="C14" s="347"/>
      <c r="D14" s="347"/>
      <c r="E14" s="347"/>
      <c r="F14" s="347"/>
      <c r="G14" s="347"/>
      <c r="H14" s="347"/>
      <c r="I14" s="347"/>
    </row>
    <row r="17" spans="1:4" s="97" customFormat="1" ht="29.25" customHeight="1" x14ac:dyDescent="0.2">
      <c r="A17" s="351" t="s">
        <v>141</v>
      </c>
      <c r="B17" s="351"/>
      <c r="C17" s="351"/>
      <c r="D17" s="96"/>
    </row>
    <row r="18" spans="1:4" x14ac:dyDescent="0.2">
      <c r="A18" s="28" t="s">
        <v>80</v>
      </c>
      <c r="B18" s="29">
        <v>176</v>
      </c>
      <c r="C18" s="34">
        <f>B18/(B3*(B3-1))</f>
        <v>0.4631578947368421</v>
      </c>
      <c r="D18" s="33"/>
    </row>
    <row r="19" spans="1:4" x14ac:dyDescent="0.2">
      <c r="A19" s="31" t="s">
        <v>83</v>
      </c>
      <c r="B19" s="29">
        <v>214</v>
      </c>
      <c r="C19" s="34">
        <f t="shared" ref="C19:C29" si="1">B19/(B4*(B4-1))</f>
        <v>0.50952380952380949</v>
      </c>
      <c r="D19" s="33"/>
    </row>
    <row r="20" spans="1:4" x14ac:dyDescent="0.2">
      <c r="A20" s="31" t="s">
        <v>84</v>
      </c>
      <c r="B20" s="29">
        <v>218</v>
      </c>
      <c r="C20" s="34">
        <f t="shared" si="1"/>
        <v>0.47186147186147187</v>
      </c>
      <c r="D20" s="33"/>
    </row>
    <row r="21" spans="1:4" x14ac:dyDescent="0.2">
      <c r="A21" s="28" t="s">
        <v>32</v>
      </c>
      <c r="B21" s="29">
        <v>249</v>
      </c>
      <c r="C21" s="34">
        <f t="shared" si="1"/>
        <v>0.53896103896103897</v>
      </c>
      <c r="D21" s="33"/>
    </row>
    <row r="22" spans="1:4" x14ac:dyDescent="0.2">
      <c r="A22" s="31" t="s">
        <v>4</v>
      </c>
      <c r="B22" s="29">
        <v>248</v>
      </c>
      <c r="C22" s="34">
        <f t="shared" si="1"/>
        <v>0.53679653679653683</v>
      </c>
      <c r="D22" s="33"/>
    </row>
    <row r="23" spans="1:4" x14ac:dyDescent="0.2">
      <c r="A23" s="31" t="s">
        <v>5</v>
      </c>
      <c r="B23" s="29">
        <v>255</v>
      </c>
      <c r="C23" s="34">
        <f t="shared" si="1"/>
        <v>0.55194805194805197</v>
      </c>
      <c r="D23" s="33"/>
    </row>
    <row r="24" spans="1:4" x14ac:dyDescent="0.2">
      <c r="A24" s="32" t="s">
        <v>6</v>
      </c>
      <c r="B24" s="29">
        <v>267</v>
      </c>
      <c r="C24" s="34">
        <f t="shared" si="1"/>
        <v>0.52766798418972327</v>
      </c>
      <c r="D24" s="33"/>
    </row>
    <row r="25" spans="1:4" x14ac:dyDescent="0.2">
      <c r="A25" s="32" t="s">
        <v>7</v>
      </c>
      <c r="B25" s="29">
        <v>282</v>
      </c>
      <c r="C25" s="34">
        <f t="shared" si="1"/>
        <v>0.51086956521739135</v>
      </c>
      <c r="D25" s="33"/>
    </row>
    <row r="26" spans="1:4" x14ac:dyDescent="0.2">
      <c r="A26" s="32" t="s">
        <v>8</v>
      </c>
      <c r="B26" s="29">
        <v>293</v>
      </c>
      <c r="C26" s="34">
        <f t="shared" si="1"/>
        <v>0.48833333333333334</v>
      </c>
      <c r="D26" s="33"/>
    </row>
    <row r="27" spans="1:4" x14ac:dyDescent="0.2">
      <c r="A27" s="32" t="s">
        <v>9</v>
      </c>
      <c r="B27" s="29">
        <v>298</v>
      </c>
      <c r="C27" s="34">
        <f t="shared" si="1"/>
        <v>0.49666666666666665</v>
      </c>
    </row>
    <row r="28" spans="1:4" x14ac:dyDescent="0.2">
      <c r="A28" s="32" t="s">
        <v>10</v>
      </c>
      <c r="B28" s="29">
        <v>336</v>
      </c>
      <c r="C28" s="34">
        <f t="shared" si="1"/>
        <v>0.56000000000000005</v>
      </c>
    </row>
    <row r="29" spans="1:4" x14ac:dyDescent="0.2">
      <c r="A29" s="32" t="s">
        <v>12</v>
      </c>
      <c r="B29" s="35">
        <v>362</v>
      </c>
      <c r="C29" s="34">
        <f t="shared" si="1"/>
        <v>0.60333333333333339</v>
      </c>
    </row>
    <row r="64" spans="1:2" x14ac:dyDescent="0.2">
      <c r="A64" s="352" t="s">
        <v>11</v>
      </c>
      <c r="B64" s="352"/>
    </row>
    <row r="65" spans="1:17" x14ac:dyDescent="0.2">
      <c r="A65" s="28" t="s">
        <v>80</v>
      </c>
      <c r="B65" s="36">
        <v>59253</v>
      </c>
    </row>
    <row r="66" spans="1:17" x14ac:dyDescent="0.2">
      <c r="A66" s="31" t="s">
        <v>83</v>
      </c>
      <c r="B66" s="36">
        <v>59341</v>
      </c>
    </row>
    <row r="67" spans="1:17" x14ac:dyDescent="0.2">
      <c r="A67" s="31" t="s">
        <v>84</v>
      </c>
      <c r="B67" s="36">
        <v>61979</v>
      </c>
    </row>
    <row r="68" spans="1:17" x14ac:dyDescent="0.2">
      <c r="A68" s="28" t="s">
        <v>32</v>
      </c>
      <c r="B68" s="36">
        <v>63358</v>
      </c>
    </row>
    <row r="69" spans="1:17" x14ac:dyDescent="0.2">
      <c r="A69" s="31" t="s">
        <v>4</v>
      </c>
      <c r="B69" s="36">
        <v>68757</v>
      </c>
    </row>
    <row r="70" spans="1:17" x14ac:dyDescent="0.2">
      <c r="A70" s="31" t="s">
        <v>5</v>
      </c>
      <c r="B70" s="36">
        <v>68734</v>
      </c>
    </row>
    <row r="71" spans="1:17" x14ac:dyDescent="0.2">
      <c r="A71" s="32" t="s">
        <v>6</v>
      </c>
      <c r="B71" s="36">
        <v>77778</v>
      </c>
    </row>
    <row r="72" spans="1:17" x14ac:dyDescent="0.2">
      <c r="A72" s="32" t="s">
        <v>7</v>
      </c>
      <c r="B72" s="36">
        <v>66508</v>
      </c>
    </row>
    <row r="73" spans="1:17" x14ac:dyDescent="0.2">
      <c r="A73" s="32" t="s">
        <v>8</v>
      </c>
      <c r="B73" s="36">
        <v>80535</v>
      </c>
    </row>
    <row r="74" spans="1:17" x14ac:dyDescent="0.2">
      <c r="A74" s="32" t="s">
        <v>9</v>
      </c>
      <c r="B74" s="36">
        <v>86383</v>
      </c>
    </row>
    <row r="75" spans="1:17" x14ac:dyDescent="0.2">
      <c r="A75" s="32" t="s">
        <v>10</v>
      </c>
      <c r="B75" s="36">
        <v>86945</v>
      </c>
    </row>
    <row r="76" spans="1:17" x14ac:dyDescent="0.2">
      <c r="A76" s="32" t="s">
        <v>12</v>
      </c>
      <c r="B76" s="37">
        <v>83072</v>
      </c>
    </row>
    <row r="77" spans="1:17" x14ac:dyDescent="0.2">
      <c r="A77" s="88" t="s">
        <v>137</v>
      </c>
      <c r="B77" s="89">
        <f>SUM(B65:B76)</f>
        <v>862643</v>
      </c>
      <c r="Q77" s="38"/>
    </row>
    <row r="78" spans="1:17" x14ac:dyDescent="0.2">
      <c r="A78" s="27" t="s">
        <v>93</v>
      </c>
      <c r="B78" s="27">
        <f>AVERAGE(B65:B76)</f>
        <v>71886.916666666672</v>
      </c>
    </row>
    <row r="88" spans="1:5" x14ac:dyDescent="0.2">
      <c r="A88" s="309" t="s">
        <v>61</v>
      </c>
      <c r="B88" s="309"/>
      <c r="C88" s="309"/>
      <c r="D88" s="309"/>
    </row>
    <row r="89" spans="1:5" x14ac:dyDescent="0.2">
      <c r="A89" s="39"/>
      <c r="B89" s="39" t="s">
        <v>0</v>
      </c>
      <c r="C89" s="39" t="s">
        <v>1</v>
      </c>
      <c r="D89" s="40" t="s">
        <v>63</v>
      </c>
    </row>
    <row r="90" spans="1:5" x14ac:dyDescent="0.2">
      <c r="A90" s="28" t="s">
        <v>80</v>
      </c>
      <c r="B90" s="31">
        <v>18005</v>
      </c>
      <c r="C90" s="31">
        <v>8879</v>
      </c>
      <c r="D90" s="31">
        <v>8764</v>
      </c>
      <c r="E90"/>
    </row>
    <row r="91" spans="1:5" x14ac:dyDescent="0.2">
      <c r="A91" s="31" t="s">
        <v>83</v>
      </c>
      <c r="B91" s="31">
        <v>17332</v>
      </c>
      <c r="C91" s="31">
        <v>8916</v>
      </c>
      <c r="D91" s="31">
        <v>8237</v>
      </c>
      <c r="E91"/>
    </row>
    <row r="92" spans="1:5" x14ac:dyDescent="0.2">
      <c r="A92" s="31" t="s">
        <v>84</v>
      </c>
      <c r="B92" s="31">
        <v>17410</v>
      </c>
      <c r="C92" s="31">
        <v>9379</v>
      </c>
      <c r="D92" s="31">
        <v>9128</v>
      </c>
      <c r="E92"/>
    </row>
    <row r="93" spans="1:5" x14ac:dyDescent="0.2">
      <c r="A93" s="28" t="s">
        <v>32</v>
      </c>
      <c r="B93" s="31">
        <v>17753</v>
      </c>
      <c r="C93" s="31">
        <v>10181</v>
      </c>
      <c r="D93" s="31">
        <v>9620</v>
      </c>
      <c r="E93"/>
    </row>
    <row r="94" spans="1:5" x14ac:dyDescent="0.2">
      <c r="A94" s="31" t="s">
        <v>4</v>
      </c>
      <c r="B94" s="31">
        <v>19822</v>
      </c>
      <c r="C94" s="31">
        <v>10922</v>
      </c>
      <c r="D94" s="31">
        <v>9741</v>
      </c>
      <c r="E94"/>
    </row>
    <row r="95" spans="1:5" x14ac:dyDescent="0.2">
      <c r="A95" s="31" t="s">
        <v>5</v>
      </c>
      <c r="B95" s="31">
        <v>20509</v>
      </c>
      <c r="C95" s="31">
        <v>10863</v>
      </c>
      <c r="D95" s="31">
        <v>10073</v>
      </c>
      <c r="E95"/>
    </row>
    <row r="96" spans="1:5" x14ac:dyDescent="0.2">
      <c r="A96" s="32" t="s">
        <v>6</v>
      </c>
      <c r="B96" s="31">
        <v>22656</v>
      </c>
      <c r="C96" s="31">
        <v>10460</v>
      </c>
      <c r="D96" s="31">
        <v>11122</v>
      </c>
      <c r="E96"/>
    </row>
    <row r="97" spans="1:5" x14ac:dyDescent="0.2">
      <c r="A97" s="32" t="s">
        <v>7</v>
      </c>
      <c r="B97" s="31">
        <v>17989</v>
      </c>
      <c r="C97" s="31">
        <v>11378</v>
      </c>
      <c r="D97" s="31">
        <v>10350</v>
      </c>
      <c r="E97"/>
    </row>
    <row r="98" spans="1:5" x14ac:dyDescent="0.2">
      <c r="A98" s="32" t="s">
        <v>8</v>
      </c>
      <c r="B98" s="31">
        <v>25078</v>
      </c>
      <c r="C98" s="31">
        <v>11357</v>
      </c>
      <c r="D98" s="31">
        <v>10780</v>
      </c>
      <c r="E98"/>
    </row>
    <row r="99" spans="1:5" x14ac:dyDescent="0.2">
      <c r="A99" s="32" t="s">
        <v>9</v>
      </c>
      <c r="B99" s="31">
        <v>24268</v>
      </c>
      <c r="C99" s="31">
        <v>12775</v>
      </c>
      <c r="D99" s="31">
        <v>12353</v>
      </c>
      <c r="E99"/>
    </row>
    <row r="100" spans="1:5" x14ac:dyDescent="0.2">
      <c r="A100" s="32" t="s">
        <v>10</v>
      </c>
      <c r="B100" s="31">
        <v>25932</v>
      </c>
      <c r="C100" s="31">
        <v>13734</v>
      </c>
      <c r="D100" s="31">
        <v>12384</v>
      </c>
      <c r="E100"/>
    </row>
    <row r="101" spans="1:5" x14ac:dyDescent="0.2">
      <c r="A101" s="32" t="s">
        <v>12</v>
      </c>
      <c r="B101" s="41">
        <v>28082</v>
      </c>
      <c r="C101" s="41">
        <v>11427</v>
      </c>
      <c r="D101" s="41">
        <v>11592</v>
      </c>
      <c r="E101"/>
    </row>
    <row r="102" spans="1:5" x14ac:dyDescent="0.2">
      <c r="A102" s="99" t="s">
        <v>137</v>
      </c>
      <c r="B102" s="43">
        <f>SUM(B90:B101)</f>
        <v>254836</v>
      </c>
      <c r="C102" s="43">
        <f>SUM(C90:C101)</f>
        <v>130271</v>
      </c>
      <c r="D102" s="43">
        <f t="shared" ref="D102" si="2">SUM(D90:D101)</f>
        <v>124144</v>
      </c>
      <c r="E102"/>
    </row>
    <row r="103" spans="1:5" x14ac:dyDescent="0.2">
      <c r="A103" s="38" t="s">
        <v>93</v>
      </c>
      <c r="B103" s="54">
        <f>AVERAGE(B90:B101)</f>
        <v>21236.333333333332</v>
      </c>
      <c r="C103" s="54">
        <f t="shared" ref="C103:D103" si="3">AVERAGE(C90:C101)</f>
        <v>10855.916666666666</v>
      </c>
      <c r="D103" s="54">
        <f t="shared" si="3"/>
        <v>10345.333333333334</v>
      </c>
    </row>
    <row r="140" spans="1:7" x14ac:dyDescent="0.2">
      <c r="E140" s="44"/>
    </row>
    <row r="141" spans="1:7" x14ac:dyDescent="0.2">
      <c r="A141" s="359" t="s">
        <v>37</v>
      </c>
      <c r="B141" s="341"/>
      <c r="C141" s="341"/>
      <c r="D141" s="341"/>
      <c r="E141" s="341"/>
      <c r="F141" s="341"/>
      <c r="G141" s="341"/>
    </row>
    <row r="142" spans="1:7" x14ac:dyDescent="0.2">
      <c r="A142" s="32" t="s">
        <v>0</v>
      </c>
      <c r="B142" s="343" t="s">
        <v>38</v>
      </c>
      <c r="C142" s="344"/>
      <c r="D142" s="344"/>
      <c r="E142" s="345"/>
      <c r="F142" s="31">
        <v>254836</v>
      </c>
      <c r="G142" s="45">
        <f>F142/F154</f>
        <v>0.29541305035802762</v>
      </c>
    </row>
    <row r="143" spans="1:7" x14ac:dyDescent="0.2">
      <c r="A143" s="32" t="s">
        <v>39</v>
      </c>
      <c r="B143" s="343" t="s">
        <v>40</v>
      </c>
      <c r="C143" s="344"/>
      <c r="D143" s="344"/>
      <c r="E143" s="345"/>
      <c r="F143" s="31">
        <v>11023</v>
      </c>
      <c r="G143" s="45">
        <f>F143/F154</f>
        <v>1.2778171271313858E-2</v>
      </c>
    </row>
    <row r="144" spans="1:7" x14ac:dyDescent="0.2">
      <c r="A144" s="32" t="s">
        <v>41</v>
      </c>
      <c r="B144" s="343" t="s">
        <v>42</v>
      </c>
      <c r="C144" s="344"/>
      <c r="D144" s="344"/>
      <c r="E144" s="345"/>
      <c r="F144" s="31">
        <v>195657</v>
      </c>
      <c r="G144" s="45">
        <f>F144/F154</f>
        <v>0.22681109103070449</v>
      </c>
    </row>
    <row r="145" spans="1:7" x14ac:dyDescent="0.2">
      <c r="A145" s="32" t="s">
        <v>1</v>
      </c>
      <c r="B145" s="343" t="s">
        <v>43</v>
      </c>
      <c r="C145" s="344"/>
      <c r="D145" s="344"/>
      <c r="E145" s="345"/>
      <c r="F145" s="31">
        <v>130271</v>
      </c>
      <c r="G145" s="45">
        <f>F145/F154</f>
        <v>0.1510138029289057</v>
      </c>
    </row>
    <row r="146" spans="1:7" x14ac:dyDescent="0.2">
      <c r="A146" s="32" t="s">
        <v>44</v>
      </c>
      <c r="B146" s="343" t="s">
        <v>45</v>
      </c>
      <c r="C146" s="344"/>
      <c r="D146" s="344"/>
      <c r="E146" s="345"/>
      <c r="F146" s="31">
        <v>131699</v>
      </c>
      <c r="G146" s="45">
        <f>F146/F154</f>
        <v>0.15266918064599144</v>
      </c>
    </row>
    <row r="147" spans="1:7" x14ac:dyDescent="0.2">
      <c r="A147" s="32" t="s">
        <v>46</v>
      </c>
      <c r="B147" s="343" t="s">
        <v>47</v>
      </c>
      <c r="C147" s="344"/>
      <c r="D147" s="344"/>
      <c r="E147" s="345"/>
      <c r="F147" s="31">
        <v>726</v>
      </c>
      <c r="G147" s="45">
        <f>F147/F154</f>
        <v>8.4159959566124109E-4</v>
      </c>
    </row>
    <row r="148" spans="1:7" x14ac:dyDescent="0.2">
      <c r="A148" s="32" t="s">
        <v>48</v>
      </c>
      <c r="B148" s="343" t="s">
        <v>49</v>
      </c>
      <c r="C148" s="344"/>
      <c r="D148" s="344"/>
      <c r="E148" s="345"/>
      <c r="F148" s="31">
        <v>4287</v>
      </c>
      <c r="G148" s="45">
        <f>F148/F154</f>
        <v>4.9696108355368326E-3</v>
      </c>
    </row>
    <row r="149" spans="1:7" x14ac:dyDescent="0.2">
      <c r="A149" s="32" t="s">
        <v>50</v>
      </c>
      <c r="B149" s="343" t="s">
        <v>51</v>
      </c>
      <c r="C149" s="344"/>
      <c r="D149" s="344"/>
      <c r="E149" s="345"/>
      <c r="F149" s="31">
        <v>119131</v>
      </c>
      <c r="G149" s="45">
        <f>F149/F154</f>
        <v>0.13810000197068775</v>
      </c>
    </row>
    <row r="150" spans="1:7" x14ac:dyDescent="0.2">
      <c r="A150" s="32" t="s">
        <v>52</v>
      </c>
      <c r="B150" s="343" t="s">
        <v>53</v>
      </c>
      <c r="C150" s="344"/>
      <c r="D150" s="344"/>
      <c r="E150" s="345"/>
      <c r="F150" s="31">
        <v>6035</v>
      </c>
      <c r="G150" s="45">
        <f>F150/F154</f>
        <v>6.9959415424457163E-3</v>
      </c>
    </row>
    <row r="151" spans="1:7" x14ac:dyDescent="0.2">
      <c r="A151" s="32" t="s">
        <v>54</v>
      </c>
      <c r="B151" s="343" t="s">
        <v>55</v>
      </c>
      <c r="C151" s="344"/>
      <c r="D151" s="344"/>
      <c r="E151" s="345"/>
      <c r="F151" s="31">
        <v>1685</v>
      </c>
      <c r="G151" s="45">
        <f>F151/F154</f>
        <v>1.9532993370374534E-3</v>
      </c>
    </row>
    <row r="152" spans="1:7" x14ac:dyDescent="0.2">
      <c r="A152" s="32" t="s">
        <v>56</v>
      </c>
      <c r="B152" s="346" t="s">
        <v>62</v>
      </c>
      <c r="C152" s="344"/>
      <c r="D152" s="344"/>
      <c r="E152" s="345"/>
      <c r="F152" s="31">
        <v>3712</v>
      </c>
      <c r="G152" s="45">
        <f>F152/F154</f>
        <v>4.3030546819483838E-3</v>
      </c>
    </row>
    <row r="153" spans="1:7" x14ac:dyDescent="0.2">
      <c r="A153" s="32" t="s">
        <v>57</v>
      </c>
      <c r="B153" s="343" t="s">
        <v>58</v>
      </c>
      <c r="C153" s="344"/>
      <c r="D153" s="344"/>
      <c r="E153" s="345"/>
      <c r="F153" s="31">
        <v>3581</v>
      </c>
      <c r="G153" s="45">
        <f>F153/F154</f>
        <v>4.1511958017395375E-3</v>
      </c>
    </row>
    <row r="154" spans="1:7" x14ac:dyDescent="0.2">
      <c r="A154" s="348"/>
      <c r="B154" s="349"/>
      <c r="C154" s="349"/>
      <c r="D154" s="349"/>
      <c r="E154" s="350"/>
      <c r="F154" s="43">
        <f>SUM(F142:F153)</f>
        <v>862643</v>
      </c>
      <c r="G154" s="42"/>
    </row>
    <row r="164" spans="1:7" x14ac:dyDescent="0.2">
      <c r="A164" s="341" t="s">
        <v>69</v>
      </c>
      <c r="B164" s="341"/>
      <c r="C164" s="341"/>
      <c r="D164" s="341"/>
      <c r="E164" s="341"/>
    </row>
    <row r="165" spans="1:7" x14ac:dyDescent="0.2">
      <c r="A165" s="358" t="s">
        <v>70</v>
      </c>
      <c r="B165" s="358"/>
      <c r="C165" s="358"/>
      <c r="D165" s="31">
        <v>194040</v>
      </c>
      <c r="E165" s="45">
        <f>D165/D167</f>
        <v>0.76173278112548337</v>
      </c>
    </row>
    <row r="166" spans="1:7" x14ac:dyDescent="0.2">
      <c r="A166" s="358" t="s">
        <v>71</v>
      </c>
      <c r="B166" s="358"/>
      <c r="C166" s="358"/>
      <c r="D166" s="31">
        <v>60695</v>
      </c>
      <c r="E166" s="45">
        <f>D166/D167</f>
        <v>0.23826721887451666</v>
      </c>
    </row>
    <row r="167" spans="1:7" x14ac:dyDescent="0.2">
      <c r="A167" s="342"/>
      <c r="B167" s="342"/>
      <c r="C167" s="342"/>
      <c r="D167" s="43">
        <f>SUM(D165:D166)</f>
        <v>254735</v>
      </c>
      <c r="E167" s="42"/>
      <c r="F167" s="54">
        <f>D167-F142</f>
        <v>-101</v>
      </c>
    </row>
    <row r="169" spans="1:7" x14ac:dyDescent="0.2">
      <c r="A169" s="341" t="s">
        <v>72</v>
      </c>
      <c r="B169" s="341"/>
      <c r="C169" s="341"/>
      <c r="D169" s="341"/>
      <c r="E169" s="341"/>
    </row>
    <row r="170" spans="1:7" x14ac:dyDescent="0.2">
      <c r="A170" s="361" t="s">
        <v>73</v>
      </c>
      <c r="B170" s="362"/>
      <c r="C170" s="363"/>
      <c r="D170" s="46">
        <v>104500</v>
      </c>
      <c r="E170" s="47">
        <f>D170/D172</f>
        <v>0.80617164898746385</v>
      </c>
    </row>
    <row r="171" spans="1:7" x14ac:dyDescent="0.2">
      <c r="A171" s="361" t="s">
        <v>74</v>
      </c>
      <c r="B171" s="362"/>
      <c r="C171" s="363"/>
      <c r="D171" s="46">
        <v>25125</v>
      </c>
      <c r="E171" s="47">
        <f>D171/D172</f>
        <v>0.19382835101253615</v>
      </c>
    </row>
    <row r="172" spans="1:7" x14ac:dyDescent="0.2">
      <c r="A172" s="342"/>
      <c r="B172" s="342"/>
      <c r="C172" s="342"/>
      <c r="D172" s="48">
        <f>SUM(D170:D171)</f>
        <v>129625</v>
      </c>
      <c r="E172" s="42"/>
      <c r="F172" s="54">
        <f>D172-F145</f>
        <v>-646</v>
      </c>
    </row>
    <row r="176" spans="1:7" x14ac:dyDescent="0.2">
      <c r="A176" s="341" t="s">
        <v>75</v>
      </c>
      <c r="B176" s="341"/>
      <c r="C176" s="341"/>
      <c r="D176" s="341"/>
      <c r="E176" s="341"/>
      <c r="F176" s="341"/>
      <c r="G176" s="341"/>
    </row>
    <row r="177" spans="1:7" x14ac:dyDescent="0.2">
      <c r="A177" s="151"/>
      <c r="B177" s="151"/>
      <c r="C177" s="151"/>
      <c r="D177" s="354" t="s">
        <v>149</v>
      </c>
      <c r="E177" s="354"/>
      <c r="F177" s="354" t="s">
        <v>150</v>
      </c>
      <c r="G177" s="354"/>
    </row>
    <row r="178" spans="1:7" x14ac:dyDescent="0.2">
      <c r="A178" s="361" t="s">
        <v>65</v>
      </c>
      <c r="B178" s="362"/>
      <c r="C178" s="363"/>
      <c r="D178" s="59">
        <f>D172-D179-D180</f>
        <v>115412</v>
      </c>
      <c r="E178" s="47">
        <f>D178/D181</f>
        <v>0.89035294117647057</v>
      </c>
      <c r="F178" s="59">
        <f>F194+F195-F179-F180</f>
        <v>106929</v>
      </c>
      <c r="G178" s="47">
        <f>F178/F181</f>
        <v>0.89722849207481314</v>
      </c>
    </row>
    <row r="179" spans="1:7" x14ac:dyDescent="0.2">
      <c r="A179" s="361" t="s">
        <v>76</v>
      </c>
      <c r="B179" s="362"/>
      <c r="C179" s="363"/>
      <c r="D179" s="59">
        <v>14164</v>
      </c>
      <c r="E179" s="47">
        <f>D179/D181</f>
        <v>0.10926904532304725</v>
      </c>
      <c r="F179" s="59">
        <v>12030</v>
      </c>
      <c r="G179" s="47">
        <f>F179/F181</f>
        <v>0.10094229591280196</v>
      </c>
    </row>
    <row r="180" spans="1:7" x14ac:dyDescent="0.2">
      <c r="A180" s="361" t="s">
        <v>64</v>
      </c>
      <c r="B180" s="362"/>
      <c r="C180" s="363"/>
      <c r="D180" s="59">
        <v>49</v>
      </c>
      <c r="E180" s="47">
        <f>D180/D181</f>
        <v>3.7801350048216007E-4</v>
      </c>
      <c r="F180" s="59">
        <v>218</v>
      </c>
      <c r="G180" s="47">
        <f>F180/F181</f>
        <v>1.8292120123849401E-3</v>
      </c>
    </row>
    <row r="181" spans="1:7" x14ac:dyDescent="0.2">
      <c r="A181" s="342"/>
      <c r="B181" s="342"/>
      <c r="C181" s="342"/>
      <c r="D181" s="48">
        <f>SUM(D178:D180)</f>
        <v>129625</v>
      </c>
      <c r="E181" s="42"/>
      <c r="F181" s="48">
        <f>SUM(F178:F180)</f>
        <v>119177</v>
      </c>
      <c r="G181" s="42"/>
    </row>
    <row r="184" spans="1:7" x14ac:dyDescent="0.2">
      <c r="A184" s="357" t="s">
        <v>34</v>
      </c>
      <c r="B184" s="357"/>
      <c r="C184" s="357"/>
      <c r="D184" s="357"/>
      <c r="E184" s="357"/>
      <c r="F184" s="357"/>
    </row>
    <row r="185" spans="1:7" ht="13.5" customHeight="1" x14ac:dyDescent="0.2">
      <c r="A185" s="355" t="s">
        <v>87</v>
      </c>
      <c r="B185" s="355"/>
      <c r="C185" s="355"/>
      <c r="D185" s="355"/>
      <c r="E185" s="56">
        <v>6</v>
      </c>
      <c r="F185" s="45">
        <f>E185/E$190</f>
        <v>3.1987034588646736E-5</v>
      </c>
    </row>
    <row r="186" spans="1:7" ht="12.75" customHeight="1" x14ac:dyDescent="0.2">
      <c r="A186" s="355" t="s">
        <v>88</v>
      </c>
      <c r="B186" s="355"/>
      <c r="C186" s="355"/>
      <c r="D186" s="355"/>
      <c r="E186" s="56">
        <v>2396</v>
      </c>
      <c r="F186" s="45">
        <f t="shared" ref="F186:F189" si="4">E186/E$190</f>
        <v>1.277348914573293E-2</v>
      </c>
    </row>
    <row r="187" spans="1:7" ht="12.75" customHeight="1" x14ac:dyDescent="0.2">
      <c r="A187" s="355" t="s">
        <v>89</v>
      </c>
      <c r="B187" s="355"/>
      <c r="C187" s="355"/>
      <c r="D187" s="355"/>
      <c r="E187" s="56">
        <v>315</v>
      </c>
      <c r="F187" s="45">
        <f t="shared" si="4"/>
        <v>1.6793193159039537E-3</v>
      </c>
    </row>
    <row r="188" spans="1:7" ht="12.75" customHeight="1" x14ac:dyDescent="0.2">
      <c r="A188" s="355" t="s">
        <v>90</v>
      </c>
      <c r="B188" s="355"/>
      <c r="C188" s="355"/>
      <c r="D188" s="355"/>
      <c r="E188" s="56">
        <v>7389</v>
      </c>
      <c r="F188" s="45">
        <f t="shared" si="4"/>
        <v>3.9392033095918454E-2</v>
      </c>
    </row>
    <row r="189" spans="1:7" ht="13.5" customHeight="1" x14ac:dyDescent="0.2">
      <c r="A189" s="355" t="s">
        <v>86</v>
      </c>
      <c r="B189" s="355"/>
      <c r="C189" s="355"/>
      <c r="D189" s="355"/>
      <c r="E189" s="56">
        <v>177470</v>
      </c>
      <c r="F189" s="45">
        <f t="shared" si="4"/>
        <v>0.94612317140785607</v>
      </c>
    </row>
    <row r="190" spans="1:7" x14ac:dyDescent="0.2">
      <c r="A190" s="367" t="s">
        <v>91</v>
      </c>
      <c r="B190" s="367"/>
      <c r="C190" s="367"/>
      <c r="D190" s="367"/>
      <c r="E190" s="57">
        <f>SUM(E185:E189)</f>
        <v>187576</v>
      </c>
      <c r="F190" s="55"/>
    </row>
    <row r="193" spans="1:7" x14ac:dyDescent="0.2">
      <c r="A193" s="357" t="s">
        <v>35</v>
      </c>
      <c r="B193" s="357"/>
      <c r="C193" s="357"/>
      <c r="D193" s="357"/>
      <c r="E193" s="357"/>
      <c r="F193" s="357"/>
      <c r="G193" s="357"/>
    </row>
    <row r="194" spans="1:7" x14ac:dyDescent="0.2">
      <c r="A194" s="360" t="s">
        <v>78</v>
      </c>
      <c r="B194" s="360"/>
      <c r="C194" s="360"/>
      <c r="D194" s="360"/>
      <c r="E194" s="360"/>
      <c r="F194" s="32">
        <v>80926</v>
      </c>
      <c r="G194" s="45">
        <f>F194/F$201</f>
        <v>0.65163056606812142</v>
      </c>
    </row>
    <row r="195" spans="1:7" x14ac:dyDescent="0.2">
      <c r="A195" s="360" t="s">
        <v>79</v>
      </c>
      <c r="B195" s="360"/>
      <c r="C195" s="360"/>
      <c r="D195" s="360"/>
      <c r="E195" s="360"/>
      <c r="F195" s="32">
        <v>38251</v>
      </c>
      <c r="G195" s="45">
        <f t="shared" ref="G195:G200" si="5">F195/F$201</f>
        <v>0.30800386504549482</v>
      </c>
    </row>
    <row r="196" spans="1:7" x14ac:dyDescent="0.2">
      <c r="A196" s="360" t="s">
        <v>60</v>
      </c>
      <c r="B196" s="360"/>
      <c r="C196" s="360"/>
      <c r="D196" s="360"/>
      <c r="E196" s="360"/>
      <c r="F196" s="31">
        <v>726</v>
      </c>
      <c r="G196" s="45">
        <f t="shared" si="5"/>
        <v>5.8458813108945972E-3</v>
      </c>
    </row>
    <row r="197" spans="1:7" ht="15" x14ac:dyDescent="0.25">
      <c r="A197" s="360" t="s">
        <v>88</v>
      </c>
      <c r="B197" s="360"/>
      <c r="C197" s="360"/>
      <c r="D197" s="360"/>
      <c r="E197" s="360"/>
      <c r="F197" s="58">
        <v>1414</v>
      </c>
      <c r="G197" s="45">
        <f t="shared" si="5"/>
        <v>1.1385779853450358E-2</v>
      </c>
    </row>
    <row r="198" spans="1:7" ht="15" x14ac:dyDescent="0.25">
      <c r="A198" s="356" t="s">
        <v>89</v>
      </c>
      <c r="B198" s="356"/>
      <c r="C198" s="356"/>
      <c r="D198" s="356"/>
      <c r="E198" s="356"/>
      <c r="F198" s="58">
        <v>30</v>
      </c>
      <c r="G198" s="45">
        <f t="shared" si="5"/>
        <v>2.4156534342539658E-4</v>
      </c>
    </row>
    <row r="199" spans="1:7" ht="15" x14ac:dyDescent="0.25">
      <c r="A199" s="366" t="s">
        <v>92</v>
      </c>
      <c r="B199" s="366"/>
      <c r="C199" s="366"/>
      <c r="D199" s="366"/>
      <c r="E199" s="366"/>
      <c r="F199" s="58">
        <v>2839</v>
      </c>
      <c r="G199" s="45">
        <f t="shared" si="5"/>
        <v>2.2860133666156697E-2</v>
      </c>
    </row>
    <row r="200" spans="1:7" ht="15" x14ac:dyDescent="0.25">
      <c r="A200" s="346" t="s">
        <v>94</v>
      </c>
      <c r="B200" s="364"/>
      <c r="C200" s="364"/>
      <c r="D200" s="364"/>
      <c r="E200" s="365"/>
      <c r="F200" s="58">
        <v>4</v>
      </c>
      <c r="G200" s="45">
        <f t="shared" si="5"/>
        <v>3.2208712456719543E-5</v>
      </c>
    </row>
    <row r="201" spans="1:7" x14ac:dyDescent="0.2">
      <c r="A201" s="369"/>
      <c r="B201" s="369"/>
      <c r="C201" s="369"/>
      <c r="D201" s="369"/>
      <c r="E201" s="369"/>
      <c r="F201" s="57">
        <f>SUM(F194:F200)</f>
        <v>124190</v>
      </c>
      <c r="G201" s="55"/>
    </row>
    <row r="205" spans="1:7" x14ac:dyDescent="0.2">
      <c r="A205" s="308" t="s">
        <v>166</v>
      </c>
      <c r="B205" s="309"/>
      <c r="C205" s="309"/>
      <c r="D205" s="309"/>
    </row>
    <row r="206" spans="1:7" ht="15" x14ac:dyDescent="0.25">
      <c r="A206" s="60"/>
      <c r="B206" s="61" t="s">
        <v>99</v>
      </c>
      <c r="C206" s="61" t="s">
        <v>100</v>
      </c>
      <c r="D206" s="87" t="s">
        <v>101</v>
      </c>
    </row>
    <row r="207" spans="1:7" x14ac:dyDescent="0.2">
      <c r="A207" s="32" t="s">
        <v>14</v>
      </c>
      <c r="B207" s="49">
        <v>23</v>
      </c>
      <c r="C207" s="45">
        <f t="shared" ref="C207:C231" si="6">B207/C$233</f>
        <v>0.95833333333333337</v>
      </c>
      <c r="D207" s="45">
        <f>B207/27</f>
        <v>0.85185185185185186</v>
      </c>
    </row>
    <row r="208" spans="1:7" x14ac:dyDescent="0.2">
      <c r="A208" s="32" t="s">
        <v>15</v>
      </c>
      <c r="B208" s="36">
        <v>21</v>
      </c>
      <c r="C208" s="45">
        <f t="shared" si="6"/>
        <v>0.875</v>
      </c>
      <c r="D208" s="45">
        <f t="shared" ref="D208:D231" si="7">B208/27</f>
        <v>0.77777777777777779</v>
      </c>
    </row>
    <row r="209" spans="1:4" x14ac:dyDescent="0.2">
      <c r="A209" s="32" t="s">
        <v>16</v>
      </c>
      <c r="B209" s="36">
        <v>19</v>
      </c>
      <c r="C209" s="45">
        <f t="shared" si="6"/>
        <v>0.79166666666666663</v>
      </c>
      <c r="D209" s="45">
        <f t="shared" si="7"/>
        <v>0.70370370370370372</v>
      </c>
    </row>
    <row r="210" spans="1:4" x14ac:dyDescent="0.2">
      <c r="A210" s="32" t="s">
        <v>85</v>
      </c>
      <c r="B210" s="36">
        <v>7</v>
      </c>
      <c r="C210" s="45">
        <f t="shared" si="6"/>
        <v>0.29166666666666669</v>
      </c>
      <c r="D210" s="45">
        <f t="shared" si="7"/>
        <v>0.25925925925925924</v>
      </c>
    </row>
    <row r="211" spans="1:4" x14ac:dyDescent="0.2">
      <c r="A211" s="32" t="s">
        <v>17</v>
      </c>
      <c r="B211" s="36">
        <v>15</v>
      </c>
      <c r="C211" s="45">
        <f t="shared" si="6"/>
        <v>0.625</v>
      </c>
      <c r="D211" s="45">
        <f t="shared" si="7"/>
        <v>0.55555555555555558</v>
      </c>
    </row>
    <row r="212" spans="1:4" x14ac:dyDescent="0.2">
      <c r="A212" s="32" t="s">
        <v>18</v>
      </c>
      <c r="B212" s="36">
        <v>13</v>
      </c>
      <c r="C212" s="45">
        <f t="shared" si="6"/>
        <v>0.54166666666666663</v>
      </c>
      <c r="D212" s="45">
        <f t="shared" si="7"/>
        <v>0.48148148148148145</v>
      </c>
    </row>
    <row r="213" spans="1:4" x14ac:dyDescent="0.2">
      <c r="A213" s="32" t="s">
        <v>19</v>
      </c>
      <c r="B213" s="36">
        <v>19</v>
      </c>
      <c r="C213" s="45">
        <f t="shared" si="6"/>
        <v>0.79166666666666663</v>
      </c>
      <c r="D213" s="45">
        <f t="shared" si="7"/>
        <v>0.70370370370370372</v>
      </c>
    </row>
    <row r="214" spans="1:4" x14ac:dyDescent="0.2">
      <c r="A214" s="32" t="s">
        <v>20</v>
      </c>
      <c r="B214" s="36">
        <v>17</v>
      </c>
      <c r="C214" s="45">
        <f t="shared" si="6"/>
        <v>0.70833333333333337</v>
      </c>
      <c r="D214" s="45">
        <f t="shared" si="7"/>
        <v>0.62962962962962965</v>
      </c>
    </row>
    <row r="215" spans="1:4" x14ac:dyDescent="0.2">
      <c r="A215" s="32" t="s">
        <v>21</v>
      </c>
      <c r="B215" s="36">
        <v>21</v>
      </c>
      <c r="C215" s="45">
        <f t="shared" si="6"/>
        <v>0.875</v>
      </c>
      <c r="D215" s="45">
        <f t="shared" si="7"/>
        <v>0.77777777777777779</v>
      </c>
    </row>
    <row r="216" spans="1:4" x14ac:dyDescent="0.2">
      <c r="A216" s="32" t="s">
        <v>22</v>
      </c>
      <c r="B216" s="36">
        <v>14</v>
      </c>
      <c r="C216" s="45">
        <f t="shared" si="6"/>
        <v>0.58333333333333337</v>
      </c>
      <c r="D216" s="45">
        <f t="shared" si="7"/>
        <v>0.51851851851851849</v>
      </c>
    </row>
    <row r="217" spans="1:4" x14ac:dyDescent="0.2">
      <c r="A217" s="32" t="s">
        <v>23</v>
      </c>
      <c r="B217" s="36">
        <v>20</v>
      </c>
      <c r="C217" s="45">
        <f t="shared" si="6"/>
        <v>0.83333333333333337</v>
      </c>
      <c r="D217" s="45">
        <f t="shared" si="7"/>
        <v>0.7407407407407407</v>
      </c>
    </row>
    <row r="218" spans="1:4" x14ac:dyDescent="0.2">
      <c r="A218" s="32" t="s">
        <v>24</v>
      </c>
      <c r="B218" s="36">
        <v>18</v>
      </c>
      <c r="C218" s="45">
        <f t="shared" si="6"/>
        <v>0.75</v>
      </c>
      <c r="D218" s="45">
        <f t="shared" si="7"/>
        <v>0.66666666666666663</v>
      </c>
    </row>
    <row r="219" spans="1:4" x14ac:dyDescent="0.2">
      <c r="A219" s="32" t="s">
        <v>25</v>
      </c>
      <c r="B219" s="36">
        <v>9</v>
      </c>
      <c r="C219" s="45">
        <f t="shared" si="6"/>
        <v>0.375</v>
      </c>
      <c r="D219" s="45">
        <f t="shared" si="7"/>
        <v>0.33333333333333331</v>
      </c>
    </row>
    <row r="220" spans="1:4" x14ac:dyDescent="0.2">
      <c r="A220" s="32" t="s">
        <v>95</v>
      </c>
      <c r="B220" s="36">
        <v>3</v>
      </c>
      <c r="C220" s="45">
        <f t="shared" si="6"/>
        <v>0.125</v>
      </c>
      <c r="D220" s="45">
        <f t="shared" si="7"/>
        <v>0.1111111111111111</v>
      </c>
    </row>
    <row r="221" spans="1:4" x14ac:dyDescent="0.2">
      <c r="A221" s="32" t="s">
        <v>2</v>
      </c>
      <c r="B221" s="36">
        <v>12</v>
      </c>
      <c r="C221" s="45">
        <f t="shared" si="6"/>
        <v>0.5</v>
      </c>
      <c r="D221" s="45">
        <f t="shared" si="7"/>
        <v>0.44444444444444442</v>
      </c>
    </row>
    <row r="222" spans="1:4" x14ac:dyDescent="0.2">
      <c r="A222" s="32" t="s">
        <v>26</v>
      </c>
      <c r="B222" s="36">
        <v>21</v>
      </c>
      <c r="C222" s="45">
        <f t="shared" si="6"/>
        <v>0.875</v>
      </c>
      <c r="D222" s="45">
        <f t="shared" si="7"/>
        <v>0.77777777777777779</v>
      </c>
    </row>
    <row r="223" spans="1:4" x14ac:dyDescent="0.2">
      <c r="A223" s="32" t="s">
        <v>82</v>
      </c>
      <c r="B223" s="36">
        <v>16</v>
      </c>
      <c r="C223" s="45">
        <f t="shared" si="6"/>
        <v>0.66666666666666663</v>
      </c>
      <c r="D223" s="45">
        <f t="shared" si="7"/>
        <v>0.59259259259259256</v>
      </c>
    </row>
    <row r="224" spans="1:4" x14ac:dyDescent="0.2">
      <c r="A224" s="32" t="s">
        <v>27</v>
      </c>
      <c r="B224" s="36">
        <v>18</v>
      </c>
      <c r="C224" s="45">
        <f t="shared" si="6"/>
        <v>0.75</v>
      </c>
      <c r="D224" s="45">
        <f t="shared" si="7"/>
        <v>0.66666666666666663</v>
      </c>
    </row>
    <row r="225" spans="1:4" x14ac:dyDescent="0.2">
      <c r="A225" s="32" t="s">
        <v>96</v>
      </c>
      <c r="B225" s="36">
        <v>17</v>
      </c>
      <c r="C225" s="45">
        <f t="shared" si="6"/>
        <v>0.70833333333333337</v>
      </c>
      <c r="D225" s="45">
        <f t="shared" si="7"/>
        <v>0.62962962962962965</v>
      </c>
    </row>
    <row r="226" spans="1:4" x14ac:dyDescent="0.2">
      <c r="A226" s="32" t="s">
        <v>28</v>
      </c>
      <c r="B226" s="36">
        <v>11</v>
      </c>
      <c r="C226" s="45">
        <f t="shared" si="6"/>
        <v>0.45833333333333331</v>
      </c>
      <c r="D226" s="45">
        <f t="shared" si="7"/>
        <v>0.40740740740740738</v>
      </c>
    </row>
    <row r="227" spans="1:4" x14ac:dyDescent="0.2">
      <c r="A227" s="32" t="s">
        <v>29</v>
      </c>
      <c r="B227" s="36">
        <v>20</v>
      </c>
      <c r="C227" s="45">
        <f t="shared" si="6"/>
        <v>0.83333333333333337</v>
      </c>
      <c r="D227" s="45">
        <f t="shared" si="7"/>
        <v>0.7407407407407407</v>
      </c>
    </row>
    <row r="228" spans="1:4" x14ac:dyDescent="0.2">
      <c r="A228" s="32" t="s">
        <v>30</v>
      </c>
      <c r="B228" s="36">
        <v>19</v>
      </c>
      <c r="C228" s="45">
        <f t="shared" si="6"/>
        <v>0.79166666666666663</v>
      </c>
      <c r="D228" s="45">
        <f t="shared" si="7"/>
        <v>0.70370370370370372</v>
      </c>
    </row>
    <row r="229" spans="1:4" x14ac:dyDescent="0.2">
      <c r="A229" s="32" t="s">
        <v>31</v>
      </c>
      <c r="B229" s="36">
        <v>18</v>
      </c>
      <c r="C229" s="45">
        <f t="shared" si="6"/>
        <v>0.75</v>
      </c>
      <c r="D229" s="45">
        <f t="shared" si="7"/>
        <v>0.66666666666666663</v>
      </c>
    </row>
    <row r="230" spans="1:4" x14ac:dyDescent="0.2">
      <c r="A230" s="32" t="s">
        <v>98</v>
      </c>
      <c r="B230" s="36">
        <v>6</v>
      </c>
      <c r="C230" s="45">
        <f t="shared" si="6"/>
        <v>0.25</v>
      </c>
      <c r="D230" s="45">
        <f t="shared" si="7"/>
        <v>0.22222222222222221</v>
      </c>
    </row>
    <row r="231" spans="1:4" x14ac:dyDescent="0.2">
      <c r="A231" s="32" t="s">
        <v>3</v>
      </c>
      <c r="B231" s="36">
        <v>2</v>
      </c>
      <c r="C231" s="45">
        <f t="shared" si="6"/>
        <v>8.3333333333333329E-2</v>
      </c>
      <c r="D231" s="45">
        <f t="shared" si="7"/>
        <v>7.407407407407407E-2</v>
      </c>
    </row>
    <row r="232" spans="1:4" x14ac:dyDescent="0.2">
      <c r="A232" s="90" t="s">
        <v>137</v>
      </c>
      <c r="B232" s="88">
        <f>SUM(B207:B231)</f>
        <v>379</v>
      </c>
      <c r="C232" s="155">
        <f>B232/(C233*(C233+1))</f>
        <v>0.63166666666666671</v>
      </c>
      <c r="D232" s="62">
        <f>B232/(28*27)</f>
        <v>0.50132275132275128</v>
      </c>
    </row>
    <row r="233" spans="1:4" x14ac:dyDescent="0.2">
      <c r="A233" s="27" t="s">
        <v>93</v>
      </c>
      <c r="B233" s="240">
        <f>B232/C233</f>
        <v>15.791666666666666</v>
      </c>
      <c r="C233" s="42">
        <v>24</v>
      </c>
    </row>
    <row r="241" spans="1:4" x14ac:dyDescent="0.2">
      <c r="A241" s="308" t="s">
        <v>36</v>
      </c>
      <c r="B241" s="309"/>
      <c r="C241" s="309"/>
      <c r="D241" s="63"/>
    </row>
    <row r="242" spans="1:4" ht="15" x14ac:dyDescent="0.25">
      <c r="A242" s="32" t="s">
        <v>14</v>
      </c>
      <c r="B242" s="65">
        <v>54410</v>
      </c>
      <c r="C242" s="51">
        <f t="shared" ref="C242:C266" si="8">B242/A$267</f>
        <v>6.3073600550865194E-2</v>
      </c>
      <c r="D242" s="64"/>
    </row>
    <row r="243" spans="1:4" ht="15" x14ac:dyDescent="0.25">
      <c r="A243" s="32" t="s">
        <v>15</v>
      </c>
      <c r="B243" s="65">
        <v>44093</v>
      </c>
      <c r="C243" s="51">
        <f t="shared" si="8"/>
        <v>5.111384431334863E-2</v>
      </c>
      <c r="D243" s="64"/>
    </row>
    <row r="244" spans="1:4" ht="15" x14ac:dyDescent="0.25">
      <c r="A244" s="32" t="s">
        <v>16</v>
      </c>
      <c r="B244" s="65">
        <v>16648</v>
      </c>
      <c r="C244" s="51">
        <f t="shared" si="8"/>
        <v>1.9298829295548679E-2</v>
      </c>
      <c r="D244" s="64"/>
    </row>
    <row r="245" spans="1:4" ht="15" x14ac:dyDescent="0.25">
      <c r="A245" s="32" t="s">
        <v>85</v>
      </c>
      <c r="B245" s="65">
        <v>1043</v>
      </c>
      <c r="C245" s="51">
        <f t="shared" si="8"/>
        <v>1.2090749012047858E-3</v>
      </c>
      <c r="D245" s="64"/>
    </row>
    <row r="246" spans="1:4" ht="15" x14ac:dyDescent="0.25">
      <c r="A246" s="32" t="s">
        <v>17</v>
      </c>
      <c r="B246" s="65">
        <v>11972</v>
      </c>
      <c r="C246" s="51">
        <f t="shared" si="8"/>
        <v>1.3878278731758098E-2</v>
      </c>
      <c r="D246" s="64"/>
    </row>
    <row r="247" spans="1:4" ht="15" x14ac:dyDescent="0.25">
      <c r="A247" s="32" t="s">
        <v>18</v>
      </c>
      <c r="B247" s="65">
        <v>127217</v>
      </c>
      <c r="C247" s="51">
        <f t="shared" si="8"/>
        <v>0.14747352033228114</v>
      </c>
      <c r="D247" s="64"/>
    </row>
    <row r="248" spans="1:4" ht="15" x14ac:dyDescent="0.25">
      <c r="A248" s="32" t="s">
        <v>19</v>
      </c>
      <c r="B248" s="65">
        <v>3354</v>
      </c>
      <c r="C248" s="51">
        <f t="shared" si="8"/>
        <v>3.88805102458375E-3</v>
      </c>
      <c r="D248" s="64"/>
    </row>
    <row r="249" spans="1:4" ht="15" x14ac:dyDescent="0.25">
      <c r="A249" s="32" t="s">
        <v>20</v>
      </c>
      <c r="B249" s="65">
        <v>3829</v>
      </c>
      <c r="C249" s="51">
        <f t="shared" si="8"/>
        <v>4.4386843688524686E-3</v>
      </c>
      <c r="D249" s="64"/>
    </row>
    <row r="250" spans="1:4" ht="13.5" customHeight="1" x14ac:dyDescent="0.25">
      <c r="A250" s="32" t="s">
        <v>21</v>
      </c>
      <c r="B250" s="65">
        <v>55253</v>
      </c>
      <c r="C250" s="51">
        <f t="shared" si="8"/>
        <v>6.4050829833430509E-2</v>
      </c>
      <c r="D250" s="64"/>
    </row>
    <row r="251" spans="1:4" ht="15" x14ac:dyDescent="0.25">
      <c r="A251" s="32" t="s">
        <v>22</v>
      </c>
      <c r="B251" s="65">
        <v>2715</v>
      </c>
      <c r="C251" s="51">
        <f t="shared" si="8"/>
        <v>3.1473042730306745E-3</v>
      </c>
      <c r="D251" s="64"/>
    </row>
    <row r="252" spans="1:4" ht="15" x14ac:dyDescent="0.25">
      <c r="A252" s="32" t="s">
        <v>23</v>
      </c>
      <c r="B252" s="65">
        <v>82165</v>
      </c>
      <c r="C252" s="51">
        <f t="shared" si="8"/>
        <v>9.5247976277556295E-2</v>
      </c>
      <c r="D252" s="64"/>
    </row>
    <row r="253" spans="1:4" ht="15" x14ac:dyDescent="0.25">
      <c r="A253" s="32" t="s">
        <v>24</v>
      </c>
      <c r="B253" s="65">
        <v>86354</v>
      </c>
      <c r="C253" s="51">
        <f t="shared" si="8"/>
        <v>0.1001039827599598</v>
      </c>
      <c r="D253" s="64"/>
    </row>
    <row r="254" spans="1:4" ht="15" x14ac:dyDescent="0.25">
      <c r="A254" s="32" t="s">
        <v>25</v>
      </c>
      <c r="B254" s="65">
        <v>1992</v>
      </c>
      <c r="C254" s="51">
        <f t="shared" si="8"/>
        <v>2.3091823616490253E-3</v>
      </c>
      <c r="D254" s="64"/>
    </row>
    <row r="255" spans="1:4" ht="15" x14ac:dyDescent="0.25">
      <c r="A255" s="32" t="s">
        <v>95</v>
      </c>
      <c r="B255" s="65">
        <v>2572</v>
      </c>
      <c r="C255" s="51">
        <f t="shared" si="8"/>
        <v>2.9815346557034604E-3</v>
      </c>
      <c r="D255" s="64"/>
    </row>
    <row r="256" spans="1:4" ht="15" x14ac:dyDescent="0.25">
      <c r="A256" s="32" t="s">
        <v>2</v>
      </c>
      <c r="B256" s="65">
        <v>4030</v>
      </c>
      <c r="C256" s="51">
        <f t="shared" si="8"/>
        <v>4.6716892155851258E-3</v>
      </c>
      <c r="D256" s="64"/>
    </row>
    <row r="257" spans="1:4" ht="15" x14ac:dyDescent="0.25">
      <c r="A257" s="32" t="s">
        <v>26</v>
      </c>
      <c r="B257" s="65">
        <v>10190</v>
      </c>
      <c r="C257" s="51">
        <f t="shared" si="8"/>
        <v>1.1812534269680505E-2</v>
      </c>
      <c r="D257" s="64"/>
    </row>
    <row r="258" spans="1:4" ht="15" x14ac:dyDescent="0.25">
      <c r="A258" s="32" t="s">
        <v>82</v>
      </c>
      <c r="B258" s="65">
        <v>73249</v>
      </c>
      <c r="C258" s="51">
        <f t="shared" si="8"/>
        <v>8.4912298598609159E-2</v>
      </c>
      <c r="D258" s="64"/>
    </row>
    <row r="259" spans="1:4" ht="15" x14ac:dyDescent="0.25">
      <c r="A259" s="32" t="s">
        <v>27</v>
      </c>
      <c r="B259" s="65">
        <v>28809</v>
      </c>
      <c r="C259" s="51">
        <f t="shared" si="8"/>
        <v>3.3396202136921065E-2</v>
      </c>
      <c r="D259" s="64"/>
    </row>
    <row r="260" spans="1:4" ht="15" x14ac:dyDescent="0.25">
      <c r="A260" s="32" t="s">
        <v>96</v>
      </c>
      <c r="B260" s="65">
        <v>4080</v>
      </c>
      <c r="C260" s="51">
        <f t="shared" si="8"/>
        <v>4.729650620244991E-3</v>
      </c>
      <c r="D260" s="64"/>
    </row>
    <row r="261" spans="1:4" ht="15" x14ac:dyDescent="0.25">
      <c r="A261" s="32" t="s">
        <v>28</v>
      </c>
      <c r="B261" s="65">
        <v>9424</v>
      </c>
      <c r="C261" s="51">
        <f t="shared" si="8"/>
        <v>1.0924565550291372E-2</v>
      </c>
      <c r="D261" s="64"/>
    </row>
    <row r="262" spans="1:4" ht="15" x14ac:dyDescent="0.25">
      <c r="A262" s="32" t="s">
        <v>29</v>
      </c>
      <c r="B262" s="65">
        <v>20317</v>
      </c>
      <c r="C262" s="51">
        <f t="shared" si="8"/>
        <v>2.355203716948958E-2</v>
      </c>
      <c r="D262" s="64"/>
    </row>
    <row r="263" spans="1:4" ht="15" x14ac:dyDescent="0.25">
      <c r="A263" s="32" t="s">
        <v>30</v>
      </c>
      <c r="B263" s="65">
        <v>135349</v>
      </c>
      <c r="C263" s="51">
        <f t="shared" si="8"/>
        <v>0.1569003631861616</v>
      </c>
      <c r="D263" s="64"/>
    </row>
    <row r="264" spans="1:4" ht="15" x14ac:dyDescent="0.25">
      <c r="A264" s="32" t="s">
        <v>31</v>
      </c>
      <c r="B264" s="65">
        <v>80187</v>
      </c>
      <c r="C264" s="51">
        <f t="shared" si="8"/>
        <v>9.295502310921204E-2</v>
      </c>
      <c r="D264" s="64"/>
    </row>
    <row r="265" spans="1:4" ht="15" x14ac:dyDescent="0.25">
      <c r="A265" s="32" t="s">
        <v>98</v>
      </c>
      <c r="B265" s="65">
        <v>624</v>
      </c>
      <c r="C265" s="51">
        <f t="shared" si="8"/>
        <v>7.2335833015511636E-4</v>
      </c>
      <c r="D265" s="64"/>
    </row>
    <row r="266" spans="1:4" ht="15" x14ac:dyDescent="0.25">
      <c r="A266" s="32" t="s">
        <v>3</v>
      </c>
      <c r="B266" s="65">
        <v>2767</v>
      </c>
      <c r="C266" s="51">
        <f t="shared" si="8"/>
        <v>3.2075841338769341E-3</v>
      </c>
      <c r="D266" s="64"/>
    </row>
    <row r="267" spans="1:4" x14ac:dyDescent="0.2">
      <c r="A267" s="310">
        <f>SUM(B242:B266)</f>
        <v>862643</v>
      </c>
      <c r="B267" s="311"/>
      <c r="C267" s="42"/>
    </row>
    <row r="276" spans="1:4" x14ac:dyDescent="0.2">
      <c r="A276" s="308" t="s">
        <v>66</v>
      </c>
      <c r="B276" s="309"/>
      <c r="C276" s="309"/>
      <c r="D276" s="50"/>
    </row>
    <row r="277" spans="1:4" x14ac:dyDescent="0.2">
      <c r="A277" s="32" t="s">
        <v>14</v>
      </c>
      <c r="B277" s="49">
        <v>13129</v>
      </c>
      <c r="C277" s="51">
        <f>B277/A$302</f>
        <v>5.1519408560799888E-2</v>
      </c>
      <c r="D277" s="50"/>
    </row>
    <row r="278" spans="1:4" x14ac:dyDescent="0.2">
      <c r="A278" s="32" t="s">
        <v>15</v>
      </c>
      <c r="B278" s="36">
        <v>28194</v>
      </c>
      <c r="C278" s="51">
        <f t="shared" ref="C278:C301" si="9">B278/A$302</f>
        <v>0.11063585992559921</v>
      </c>
      <c r="D278" s="50"/>
    </row>
    <row r="279" spans="1:4" x14ac:dyDescent="0.2">
      <c r="A279" s="32" t="s">
        <v>16</v>
      </c>
      <c r="B279" s="36">
        <v>98</v>
      </c>
      <c r="C279" s="51">
        <f t="shared" si="9"/>
        <v>3.8456105102889699E-4</v>
      </c>
      <c r="D279" s="50"/>
    </row>
    <row r="280" spans="1:4" x14ac:dyDescent="0.2">
      <c r="A280" s="53" t="s">
        <v>85</v>
      </c>
      <c r="B280" s="36">
        <v>236</v>
      </c>
      <c r="C280" s="51">
        <f t="shared" si="9"/>
        <v>9.2608579635530298E-4</v>
      </c>
      <c r="D280" s="50"/>
    </row>
    <row r="281" spans="1:4" x14ac:dyDescent="0.2">
      <c r="A281" s="32" t="s">
        <v>17</v>
      </c>
      <c r="B281" s="36">
        <v>1926</v>
      </c>
      <c r="C281" s="51">
        <f t="shared" si="9"/>
        <v>7.5578018804250578E-3</v>
      </c>
      <c r="D281" s="50"/>
    </row>
    <row r="282" spans="1:4" x14ac:dyDescent="0.2">
      <c r="A282" s="32" t="s">
        <v>18</v>
      </c>
      <c r="B282" s="36">
        <v>46793</v>
      </c>
      <c r="C282" s="51">
        <f t="shared" si="9"/>
        <v>0.18362005368158346</v>
      </c>
      <c r="D282" s="50"/>
    </row>
    <row r="283" spans="1:4" x14ac:dyDescent="0.2">
      <c r="A283" s="32" t="s">
        <v>19</v>
      </c>
      <c r="B283" s="36">
        <v>1809</v>
      </c>
      <c r="C283" s="51">
        <f t="shared" si="9"/>
        <v>7.0986830746048437E-3</v>
      </c>
      <c r="D283" s="50"/>
    </row>
    <row r="284" spans="1:4" x14ac:dyDescent="0.2">
      <c r="A284" s="32" t="s">
        <v>20</v>
      </c>
      <c r="B284" s="36">
        <v>100</v>
      </c>
      <c r="C284" s="51">
        <f t="shared" si="9"/>
        <v>3.9240923574377246E-4</v>
      </c>
      <c r="D284" s="50"/>
    </row>
    <row r="285" spans="1:4" x14ac:dyDescent="0.2">
      <c r="A285" s="32" t="s">
        <v>21</v>
      </c>
      <c r="B285" s="36">
        <v>35321</v>
      </c>
      <c r="C285" s="51">
        <f t="shared" si="9"/>
        <v>0.13860286615705789</v>
      </c>
      <c r="D285" s="50"/>
    </row>
    <row r="286" spans="1:4" x14ac:dyDescent="0.2">
      <c r="A286" s="32" t="s">
        <v>22</v>
      </c>
      <c r="B286" s="36">
        <v>704</v>
      </c>
      <c r="C286" s="51">
        <f t="shared" si="9"/>
        <v>2.7625610196361583E-3</v>
      </c>
      <c r="D286" s="50"/>
    </row>
    <row r="287" spans="1:4" x14ac:dyDescent="0.2">
      <c r="A287" s="32" t="s">
        <v>23</v>
      </c>
      <c r="B287" s="36">
        <v>34200</v>
      </c>
      <c r="C287" s="51">
        <f t="shared" si="9"/>
        <v>0.13420395862437018</v>
      </c>
      <c r="D287" s="50"/>
    </row>
    <row r="288" spans="1:4" x14ac:dyDescent="0.2">
      <c r="A288" s="32" t="s">
        <v>24</v>
      </c>
      <c r="B288" s="36">
        <v>37090</v>
      </c>
      <c r="C288" s="51">
        <f t="shared" si="9"/>
        <v>0.14554458553736521</v>
      </c>
      <c r="D288" s="50"/>
    </row>
    <row r="289" spans="1:5" x14ac:dyDescent="0.2">
      <c r="A289" s="32" t="s">
        <v>25</v>
      </c>
      <c r="B289" s="36"/>
      <c r="C289" s="51">
        <f t="shared" si="9"/>
        <v>0</v>
      </c>
      <c r="D289" s="50"/>
    </row>
    <row r="290" spans="1:5" x14ac:dyDescent="0.2">
      <c r="A290" s="32" t="s">
        <v>95</v>
      </c>
      <c r="B290" s="36">
        <v>2</v>
      </c>
      <c r="C290" s="51">
        <f t="shared" ref="C290" si="10">B290/A$302</f>
        <v>7.84818471487545E-6</v>
      </c>
      <c r="D290" s="50"/>
    </row>
    <row r="291" spans="1:5" x14ac:dyDescent="0.2">
      <c r="A291" s="32" t="s">
        <v>2</v>
      </c>
      <c r="B291" s="36">
        <v>1</v>
      </c>
      <c r="C291" s="51">
        <f t="shared" si="9"/>
        <v>3.924092357437725E-6</v>
      </c>
      <c r="D291" s="50"/>
    </row>
    <row r="292" spans="1:5" x14ac:dyDescent="0.2">
      <c r="A292" s="32" t="s">
        <v>26</v>
      </c>
      <c r="B292" s="36">
        <v>1218</v>
      </c>
      <c r="C292" s="51">
        <f t="shared" si="9"/>
        <v>4.7795444913591488E-3</v>
      </c>
      <c r="D292" s="50"/>
    </row>
    <row r="293" spans="1:5" x14ac:dyDescent="0.2">
      <c r="A293" s="53" t="s">
        <v>82</v>
      </c>
      <c r="B293" s="36">
        <v>41879</v>
      </c>
      <c r="C293" s="51">
        <f t="shared" si="9"/>
        <v>0.16433706383713448</v>
      </c>
      <c r="D293" s="50"/>
    </row>
    <row r="294" spans="1:5" x14ac:dyDescent="0.2">
      <c r="A294" s="32" t="s">
        <v>27</v>
      </c>
      <c r="B294" s="36">
        <v>136</v>
      </c>
      <c r="C294" s="51">
        <f t="shared" si="9"/>
        <v>5.3367656061153058E-4</v>
      </c>
      <c r="D294" s="50"/>
    </row>
    <row r="295" spans="1:5" x14ac:dyDescent="0.2">
      <c r="A295" s="32" t="s">
        <v>96</v>
      </c>
      <c r="B295" s="36">
        <v>3126</v>
      </c>
      <c r="C295" s="51">
        <f t="shared" ref="C295" si="11">B295/A$302</f>
        <v>1.2266712709350328E-2</v>
      </c>
      <c r="D295" s="50"/>
    </row>
    <row r="296" spans="1:5" x14ac:dyDescent="0.2">
      <c r="A296" s="32" t="s">
        <v>28</v>
      </c>
      <c r="B296" s="36">
        <v>91</v>
      </c>
      <c r="C296" s="51">
        <f t="shared" si="9"/>
        <v>3.5709240452683292E-4</v>
      </c>
      <c r="D296" s="50"/>
    </row>
    <row r="297" spans="1:5" x14ac:dyDescent="0.2">
      <c r="A297" s="32" t="s">
        <v>29</v>
      </c>
      <c r="B297" s="36">
        <v>1693</v>
      </c>
      <c r="C297" s="51">
        <f t="shared" si="9"/>
        <v>6.643488361142068E-3</v>
      </c>
      <c r="D297" s="50"/>
    </row>
    <row r="298" spans="1:5" x14ac:dyDescent="0.2">
      <c r="A298" s="32" t="s">
        <v>30</v>
      </c>
      <c r="B298" s="36">
        <v>6883</v>
      </c>
      <c r="C298" s="51">
        <f t="shared" si="9"/>
        <v>2.700952769624386E-2</v>
      </c>
      <c r="D298" s="50"/>
    </row>
    <row r="299" spans="1:5" x14ac:dyDescent="0.2">
      <c r="A299" s="32" t="s">
        <v>31</v>
      </c>
      <c r="B299" s="36">
        <v>77</v>
      </c>
      <c r="C299" s="51">
        <f t="shared" si="9"/>
        <v>3.0215511152270478E-4</v>
      </c>
      <c r="D299" s="52"/>
    </row>
    <row r="300" spans="1:5" x14ac:dyDescent="0.2">
      <c r="A300" s="53" t="s">
        <v>98</v>
      </c>
      <c r="B300" s="36">
        <v>101</v>
      </c>
      <c r="C300" s="51">
        <f t="shared" ref="C300" si="12">B300/A$302</f>
        <v>3.9633332810121017E-4</v>
      </c>
    </row>
    <row r="301" spans="1:5" x14ac:dyDescent="0.2">
      <c r="A301" s="32" t="s">
        <v>3</v>
      </c>
      <c r="B301" s="36">
        <v>29</v>
      </c>
      <c r="C301" s="51">
        <f t="shared" si="9"/>
        <v>1.1379867836569402E-4</v>
      </c>
    </row>
    <row r="302" spans="1:5" x14ac:dyDescent="0.2">
      <c r="A302" s="310">
        <f>SUM(B277:B301)</f>
        <v>254836</v>
      </c>
      <c r="B302" s="311"/>
      <c r="C302" s="42"/>
    </row>
    <row r="303" spans="1:5" x14ac:dyDescent="0.2">
      <c r="E303" s="54"/>
    </row>
    <row r="311" spans="1:4" x14ac:dyDescent="0.2">
      <c r="A311" s="308" t="s">
        <v>67</v>
      </c>
      <c r="B311" s="309"/>
      <c r="C311" s="309"/>
      <c r="D311" s="50"/>
    </row>
    <row r="312" spans="1:4" x14ac:dyDescent="0.2">
      <c r="A312" s="32" t="s">
        <v>14</v>
      </c>
      <c r="B312" s="49">
        <v>25202</v>
      </c>
      <c r="C312" s="51">
        <f>B312/A$337</f>
        <v>0.19345825241227901</v>
      </c>
      <c r="D312" s="50"/>
    </row>
    <row r="313" spans="1:4" x14ac:dyDescent="0.2">
      <c r="A313" s="32" t="s">
        <v>15</v>
      </c>
      <c r="B313" s="36">
        <v>1326</v>
      </c>
      <c r="C313" s="51">
        <f t="shared" ref="C313:C336" si="13">B313/A$337</f>
        <v>1.0178781156205142E-2</v>
      </c>
      <c r="D313" s="50"/>
    </row>
    <row r="314" spans="1:4" x14ac:dyDescent="0.2">
      <c r="A314" s="32" t="s">
        <v>16</v>
      </c>
      <c r="B314" s="36">
        <v>48</v>
      </c>
      <c r="C314" s="51">
        <f t="shared" si="13"/>
        <v>3.6846266628796893E-4</v>
      </c>
      <c r="D314" s="50"/>
    </row>
    <row r="315" spans="1:4" x14ac:dyDescent="0.2">
      <c r="A315" s="53" t="s">
        <v>85</v>
      </c>
      <c r="B315" s="36">
        <v>16</v>
      </c>
      <c r="C315" s="51">
        <f t="shared" si="13"/>
        <v>1.2282088876265632E-4</v>
      </c>
      <c r="D315" s="50"/>
    </row>
    <row r="316" spans="1:4" x14ac:dyDescent="0.2">
      <c r="A316" s="32" t="s">
        <v>17</v>
      </c>
      <c r="B316" s="36">
        <v>3949</v>
      </c>
      <c r="C316" s="51">
        <f t="shared" si="13"/>
        <v>3.0313730607733111E-2</v>
      </c>
      <c r="D316" s="50"/>
    </row>
    <row r="317" spans="1:4" x14ac:dyDescent="0.2">
      <c r="A317" s="32" t="s">
        <v>18</v>
      </c>
      <c r="B317" s="36">
        <v>48726</v>
      </c>
      <c r="C317" s="51">
        <f t="shared" si="13"/>
        <v>0.37403566411557443</v>
      </c>
      <c r="D317" s="50"/>
    </row>
    <row r="318" spans="1:4" x14ac:dyDescent="0.2">
      <c r="A318" s="32" t="s">
        <v>19</v>
      </c>
      <c r="B318" s="36">
        <v>31</v>
      </c>
      <c r="C318" s="51">
        <f t="shared" si="13"/>
        <v>2.3796547197764661E-4</v>
      </c>
      <c r="D318" s="50"/>
    </row>
    <row r="319" spans="1:4" x14ac:dyDescent="0.2">
      <c r="A319" s="32" t="s">
        <v>20</v>
      </c>
      <c r="B319" s="36">
        <v>28</v>
      </c>
      <c r="C319" s="51">
        <f t="shared" si="13"/>
        <v>2.1493655533464854E-4</v>
      </c>
      <c r="D319" s="50"/>
    </row>
    <row r="320" spans="1:4" x14ac:dyDescent="0.2">
      <c r="A320" s="32" t="s">
        <v>21</v>
      </c>
      <c r="B320" s="36">
        <v>981</v>
      </c>
      <c r="C320" s="51">
        <f t="shared" si="13"/>
        <v>7.5304557422603653E-3</v>
      </c>
      <c r="D320" s="50"/>
    </row>
    <row r="321" spans="1:4" x14ac:dyDescent="0.2">
      <c r="A321" s="32" t="s">
        <v>22</v>
      </c>
      <c r="B321" s="36">
        <v>820</v>
      </c>
      <c r="C321" s="51">
        <f t="shared" si="13"/>
        <v>6.2945705490861361E-3</v>
      </c>
      <c r="D321" s="50"/>
    </row>
    <row r="322" spans="1:4" x14ac:dyDescent="0.2">
      <c r="A322" s="32" t="s">
        <v>23</v>
      </c>
      <c r="B322" s="36">
        <v>11049</v>
      </c>
      <c r="C322" s="51">
        <f t="shared" si="13"/>
        <v>8.481549999616185E-2</v>
      </c>
      <c r="D322" s="50"/>
    </row>
    <row r="323" spans="1:4" x14ac:dyDescent="0.2">
      <c r="A323" s="32" t="s">
        <v>24</v>
      </c>
      <c r="B323" s="36">
        <v>28823</v>
      </c>
      <c r="C323" s="51">
        <f t="shared" si="13"/>
        <v>0.22125415480037766</v>
      </c>
      <c r="D323" s="50"/>
    </row>
    <row r="324" spans="1:4" x14ac:dyDescent="0.2">
      <c r="A324" s="32" t="s">
        <v>25</v>
      </c>
      <c r="B324" s="36"/>
      <c r="C324" s="51">
        <f t="shared" si="13"/>
        <v>0</v>
      </c>
      <c r="D324" s="50"/>
    </row>
    <row r="325" spans="1:4" x14ac:dyDescent="0.2">
      <c r="A325" s="32" t="s">
        <v>95</v>
      </c>
      <c r="B325" s="36">
        <v>2</v>
      </c>
      <c r="C325" s="51">
        <f t="shared" ref="C325" si="14">B325/A$337</f>
        <v>1.535261109533204E-5</v>
      </c>
      <c r="D325" s="50"/>
    </row>
    <row r="326" spans="1:4" x14ac:dyDescent="0.2">
      <c r="A326" s="32" t="s">
        <v>2</v>
      </c>
      <c r="B326" s="36">
        <v>64</v>
      </c>
      <c r="C326" s="51">
        <f t="shared" si="13"/>
        <v>4.9128355505062527E-4</v>
      </c>
      <c r="D326" s="50"/>
    </row>
    <row r="327" spans="1:4" x14ac:dyDescent="0.2">
      <c r="A327" s="32" t="s">
        <v>26</v>
      </c>
      <c r="B327" s="36">
        <v>552</v>
      </c>
      <c r="C327" s="51">
        <f t="shared" si="13"/>
        <v>4.2373206623116423E-3</v>
      </c>
      <c r="D327" s="50"/>
    </row>
    <row r="328" spans="1:4" x14ac:dyDescent="0.2">
      <c r="A328" s="53" t="s">
        <v>82</v>
      </c>
      <c r="B328" s="36">
        <v>597</v>
      </c>
      <c r="C328" s="51">
        <f t="shared" si="13"/>
        <v>4.5827544119566134E-3</v>
      </c>
      <c r="D328" s="50"/>
    </row>
    <row r="329" spans="1:4" x14ac:dyDescent="0.2">
      <c r="A329" s="32" t="s">
        <v>27</v>
      </c>
      <c r="B329" s="36">
        <v>546</v>
      </c>
      <c r="C329" s="51">
        <f t="shared" si="13"/>
        <v>4.1912628290256462E-3</v>
      </c>
      <c r="D329" s="50"/>
    </row>
    <row r="330" spans="1:4" x14ac:dyDescent="0.2">
      <c r="A330" s="32" t="s">
        <v>96</v>
      </c>
      <c r="B330" s="36">
        <v>315</v>
      </c>
      <c r="C330" s="51">
        <f t="shared" ref="C330" si="15">B330/A$337</f>
        <v>2.4180362475147961E-3</v>
      </c>
      <c r="D330" s="50"/>
    </row>
    <row r="331" spans="1:4" x14ac:dyDescent="0.2">
      <c r="A331" s="32" t="s">
        <v>28</v>
      </c>
      <c r="B331" s="36">
        <v>109</v>
      </c>
      <c r="C331" s="51">
        <f t="shared" si="13"/>
        <v>8.3671730469559607E-4</v>
      </c>
      <c r="D331" s="50"/>
    </row>
    <row r="332" spans="1:4" x14ac:dyDescent="0.2">
      <c r="A332" s="32" t="s">
        <v>29</v>
      </c>
      <c r="B332" s="36">
        <v>3989</v>
      </c>
      <c r="C332" s="51">
        <f t="shared" si="13"/>
        <v>3.0620782829639752E-2</v>
      </c>
      <c r="D332" s="50"/>
    </row>
    <row r="333" spans="1:4" x14ac:dyDescent="0.2">
      <c r="A333" s="32" t="s">
        <v>30</v>
      </c>
      <c r="B333" s="36">
        <v>2657</v>
      </c>
      <c r="C333" s="51">
        <f t="shared" si="13"/>
        <v>2.0395943840148614E-2</v>
      </c>
      <c r="D333" s="50"/>
    </row>
    <row r="334" spans="1:4" x14ac:dyDescent="0.2">
      <c r="A334" s="32" t="s">
        <v>31</v>
      </c>
      <c r="B334" s="36">
        <v>397</v>
      </c>
      <c r="C334" s="51">
        <f t="shared" si="13"/>
        <v>3.0474933024234097E-3</v>
      </c>
      <c r="D334" s="52"/>
    </row>
    <row r="335" spans="1:4" x14ac:dyDescent="0.2">
      <c r="A335" s="53" t="s">
        <v>98</v>
      </c>
      <c r="B335" s="36">
        <v>44</v>
      </c>
      <c r="C335" s="51">
        <f t="shared" ref="C335" si="16">B335/A$337</f>
        <v>3.3775744409730483E-4</v>
      </c>
    </row>
    <row r="336" spans="1:4" x14ac:dyDescent="0.2">
      <c r="A336" s="32" t="s">
        <v>3</v>
      </c>
      <c r="B336" s="36"/>
      <c r="C336" s="51">
        <f t="shared" si="13"/>
        <v>0</v>
      </c>
    </row>
    <row r="337" spans="1:4" x14ac:dyDescent="0.2">
      <c r="A337" s="310">
        <f>SUM(B312:B336)</f>
        <v>130271</v>
      </c>
      <c r="B337" s="311"/>
      <c r="C337" s="42"/>
    </row>
    <row r="348" spans="1:4" ht="25.5" customHeight="1" x14ac:dyDescent="0.2">
      <c r="A348" s="353" t="s">
        <v>97</v>
      </c>
      <c r="B348" s="351"/>
      <c r="C348" s="351"/>
    </row>
    <row r="349" spans="1:4" x14ac:dyDescent="0.2">
      <c r="A349" s="32" t="s">
        <v>14</v>
      </c>
      <c r="B349" s="49">
        <v>5742</v>
      </c>
      <c r="C349" s="51">
        <f>B349/A$337</f>
        <v>4.4077346454698282E-2</v>
      </c>
      <c r="D349"/>
    </row>
    <row r="350" spans="1:4" x14ac:dyDescent="0.2">
      <c r="A350" s="32" t="s">
        <v>15</v>
      </c>
      <c r="B350" s="36">
        <v>3513</v>
      </c>
      <c r="C350" s="51">
        <f t="shared" ref="C350:C373" si="17">B350/A$337</f>
        <v>2.6966861388950727E-2</v>
      </c>
      <c r="D350"/>
    </row>
    <row r="351" spans="1:4" x14ac:dyDescent="0.2">
      <c r="A351" s="32" t="s">
        <v>16</v>
      </c>
      <c r="B351" s="36">
        <v>1767</v>
      </c>
      <c r="C351" s="51">
        <f t="shared" si="17"/>
        <v>1.3564031902725857E-2</v>
      </c>
      <c r="D351"/>
    </row>
    <row r="352" spans="1:4" x14ac:dyDescent="0.2">
      <c r="A352" s="53" t="s">
        <v>85</v>
      </c>
      <c r="B352" s="36">
        <v>46</v>
      </c>
      <c r="C352" s="51">
        <f t="shared" si="17"/>
        <v>3.5311005519263688E-4</v>
      </c>
      <c r="D352"/>
    </row>
    <row r="353" spans="1:4" x14ac:dyDescent="0.2">
      <c r="A353" s="32" t="s">
        <v>17</v>
      </c>
      <c r="B353" s="36">
        <v>1895</v>
      </c>
      <c r="C353" s="51">
        <f t="shared" si="17"/>
        <v>1.4546599012827106E-2</v>
      </c>
      <c r="D353"/>
    </row>
    <row r="354" spans="1:4" x14ac:dyDescent="0.2">
      <c r="A354" s="32" t="s">
        <v>18</v>
      </c>
      <c r="B354" s="36">
        <v>15410</v>
      </c>
      <c r="C354" s="51">
        <f t="shared" si="17"/>
        <v>0.11829186848953335</v>
      </c>
      <c r="D354"/>
    </row>
    <row r="355" spans="1:4" x14ac:dyDescent="0.2">
      <c r="A355" s="32" t="s">
        <v>19</v>
      </c>
      <c r="B355" s="36">
        <v>673</v>
      </c>
      <c r="C355" s="51">
        <f t="shared" si="17"/>
        <v>5.1661536335792313E-3</v>
      </c>
      <c r="D355"/>
    </row>
    <row r="356" spans="1:4" x14ac:dyDescent="0.2">
      <c r="A356" s="32" t="s">
        <v>20</v>
      </c>
      <c r="B356" s="36">
        <v>1198</v>
      </c>
      <c r="C356" s="51">
        <f t="shared" si="17"/>
        <v>9.196214046103891E-3</v>
      </c>
      <c r="D356"/>
    </row>
    <row r="357" spans="1:4" x14ac:dyDescent="0.2">
      <c r="A357" s="32" t="s">
        <v>21</v>
      </c>
      <c r="B357" s="36">
        <v>5824</v>
      </c>
      <c r="C357" s="51">
        <f t="shared" si="17"/>
        <v>4.4706803509606895E-2</v>
      </c>
      <c r="D357"/>
    </row>
    <row r="358" spans="1:4" x14ac:dyDescent="0.2">
      <c r="A358" s="32" t="s">
        <v>22</v>
      </c>
      <c r="B358" s="36">
        <v>485</v>
      </c>
      <c r="C358" s="51">
        <f t="shared" si="17"/>
        <v>3.7230081906180195E-3</v>
      </c>
      <c r="D358"/>
    </row>
    <row r="359" spans="1:4" x14ac:dyDescent="0.2">
      <c r="A359" s="32" t="s">
        <v>23</v>
      </c>
      <c r="B359" s="36">
        <v>9158</v>
      </c>
      <c r="C359" s="51">
        <f t="shared" si="17"/>
        <v>7.0299606205525403E-2</v>
      </c>
      <c r="D359"/>
    </row>
    <row r="360" spans="1:4" x14ac:dyDescent="0.2">
      <c r="A360" s="32" t="s">
        <v>24</v>
      </c>
      <c r="B360" s="36">
        <v>4982</v>
      </c>
      <c r="C360" s="51">
        <f t="shared" si="17"/>
        <v>3.824335423847211E-2</v>
      </c>
      <c r="D360"/>
    </row>
    <row r="361" spans="1:4" x14ac:dyDescent="0.2">
      <c r="A361" s="32" t="s">
        <v>25</v>
      </c>
      <c r="B361" s="36">
        <v>837</v>
      </c>
      <c r="C361" s="51">
        <f t="shared" si="17"/>
        <v>6.4250677433964586E-3</v>
      </c>
      <c r="D361"/>
    </row>
    <row r="362" spans="1:4" x14ac:dyDescent="0.2">
      <c r="A362" s="32" t="s">
        <v>95</v>
      </c>
      <c r="B362" s="36">
        <v>1248</v>
      </c>
      <c r="C362" s="51">
        <f t="shared" si="17"/>
        <v>9.5800293234871922E-3</v>
      </c>
      <c r="D362"/>
    </row>
    <row r="363" spans="1:4" x14ac:dyDescent="0.2">
      <c r="A363" s="32" t="s">
        <v>2</v>
      </c>
      <c r="B363" s="36">
        <v>1797</v>
      </c>
      <c r="C363" s="51">
        <f t="shared" si="17"/>
        <v>1.3794321069155837E-2</v>
      </c>
      <c r="D363"/>
    </row>
    <row r="364" spans="1:4" x14ac:dyDescent="0.2">
      <c r="A364" s="32" t="s">
        <v>26</v>
      </c>
      <c r="B364" s="36">
        <v>2209</v>
      </c>
      <c r="C364" s="51">
        <f t="shared" si="17"/>
        <v>1.6956958954794238E-2</v>
      </c>
      <c r="D364"/>
    </row>
    <row r="365" spans="1:4" x14ac:dyDescent="0.2">
      <c r="A365" s="53" t="s">
        <v>82</v>
      </c>
      <c r="B365" s="36">
        <v>6418</v>
      </c>
      <c r="C365" s="51">
        <f t="shared" si="17"/>
        <v>4.9266529004920512E-2</v>
      </c>
      <c r="D365"/>
    </row>
    <row r="366" spans="1:4" x14ac:dyDescent="0.2">
      <c r="A366" s="32" t="s">
        <v>27</v>
      </c>
      <c r="B366" s="36">
        <v>7453</v>
      </c>
      <c r="C366" s="51">
        <f t="shared" si="17"/>
        <v>5.7211505246754842E-2</v>
      </c>
      <c r="D366"/>
    </row>
    <row r="367" spans="1:4" x14ac:dyDescent="0.2">
      <c r="A367" s="32" t="s">
        <v>96</v>
      </c>
      <c r="B367" s="36">
        <v>180</v>
      </c>
      <c r="C367" s="51">
        <f t="shared" ref="C367" si="18">B367/A$337</f>
        <v>1.3817349985798834E-3</v>
      </c>
      <c r="D367"/>
    </row>
    <row r="368" spans="1:4" x14ac:dyDescent="0.2">
      <c r="A368" s="32" t="s">
        <v>28</v>
      </c>
      <c r="B368" s="36">
        <v>2164</v>
      </c>
      <c r="C368" s="51">
        <f t="shared" si="17"/>
        <v>1.6611525205149264E-2</v>
      </c>
      <c r="D368"/>
    </row>
    <row r="369" spans="1:4" x14ac:dyDescent="0.2">
      <c r="A369" s="32" t="s">
        <v>29</v>
      </c>
      <c r="B369" s="36">
        <v>2338</v>
      </c>
      <c r="C369" s="51">
        <f t="shared" si="17"/>
        <v>1.7947202370443154E-2</v>
      </c>
      <c r="D369"/>
    </row>
    <row r="370" spans="1:4" x14ac:dyDescent="0.2">
      <c r="A370" s="32" t="s">
        <v>30</v>
      </c>
      <c r="B370" s="36">
        <v>37982</v>
      </c>
      <c r="C370" s="51">
        <f t="shared" si="17"/>
        <v>0.29156143731145073</v>
      </c>
      <c r="D370"/>
    </row>
    <row r="371" spans="1:4" x14ac:dyDescent="0.2">
      <c r="A371" s="32" t="s">
        <v>31</v>
      </c>
      <c r="B371" s="36">
        <v>9990</v>
      </c>
      <c r="C371" s="51">
        <f t="shared" si="17"/>
        <v>7.6686292421183536E-2</v>
      </c>
      <c r="D371"/>
    </row>
    <row r="372" spans="1:4" x14ac:dyDescent="0.2">
      <c r="A372" s="53" t="s">
        <v>98</v>
      </c>
      <c r="B372" s="36">
        <v>115</v>
      </c>
      <c r="C372" s="51">
        <f t="shared" ref="C372" si="19">B372/A$337</f>
        <v>8.8277513798159222E-4</v>
      </c>
      <c r="D372"/>
    </row>
    <row r="373" spans="1:4" x14ac:dyDescent="0.2">
      <c r="A373" s="32" t="s">
        <v>3</v>
      </c>
      <c r="B373" s="36">
        <v>720</v>
      </c>
      <c r="C373" s="51">
        <f t="shared" si="17"/>
        <v>5.5269399943195336E-3</v>
      </c>
      <c r="D373"/>
    </row>
    <row r="374" spans="1:4" x14ac:dyDescent="0.2">
      <c r="A374" s="310">
        <f>SUM(B349:B373)</f>
        <v>124144</v>
      </c>
      <c r="B374" s="311"/>
      <c r="C374" s="42"/>
    </row>
    <row r="381" spans="1:4" ht="13.5" thickBot="1" x14ac:dyDescent="0.25"/>
    <row r="382" spans="1:4" ht="16.5" thickTop="1" thickBot="1" x14ac:dyDescent="0.3">
      <c r="A382" s="370" t="s">
        <v>164</v>
      </c>
      <c r="B382" s="370"/>
      <c r="C382" s="370"/>
      <c r="D382" s="370"/>
    </row>
    <row r="383" spans="1:4" ht="13.5" thickTop="1" x14ac:dyDescent="0.2">
      <c r="A383" s="57"/>
      <c r="B383" s="57" t="s">
        <v>103</v>
      </c>
      <c r="C383" s="57" t="s">
        <v>165</v>
      </c>
      <c r="D383" s="57"/>
    </row>
    <row r="384" spans="1:4" x14ac:dyDescent="0.2">
      <c r="A384" s="32"/>
      <c r="B384" s="32">
        <v>18825</v>
      </c>
      <c r="C384" s="154">
        <f>B384/A337</f>
        <v>0.14450645193481282</v>
      </c>
      <c r="D384" s="32"/>
    </row>
    <row r="389" spans="2:18" ht="15.75" thickBot="1" x14ac:dyDescent="0.3">
      <c r="B389" s="70" t="s">
        <v>102</v>
      </c>
      <c r="C389" s="312" t="s">
        <v>104</v>
      </c>
      <c r="D389" s="312"/>
      <c r="E389" s="312"/>
      <c r="F389" s="312"/>
      <c r="G389" s="312"/>
      <c r="H389" s="312"/>
      <c r="I389" s="312"/>
      <c r="J389" s="312"/>
      <c r="K389" s="312"/>
      <c r="L389" s="312"/>
      <c r="M389" s="312"/>
      <c r="N389" s="312"/>
      <c r="O389" s="69" t="s">
        <v>103</v>
      </c>
      <c r="P389" s="69" t="s">
        <v>105</v>
      </c>
    </row>
    <row r="390" spans="2:18" ht="15" x14ac:dyDescent="0.25">
      <c r="B390" s="71">
        <v>2013</v>
      </c>
      <c r="C390" s="368" t="s">
        <v>106</v>
      </c>
      <c r="D390" s="368"/>
      <c r="E390" s="368"/>
      <c r="F390" s="368"/>
      <c r="G390" s="368"/>
      <c r="H390" s="368"/>
      <c r="I390" s="368"/>
      <c r="J390" s="368"/>
      <c r="K390" s="368"/>
      <c r="L390" s="368"/>
      <c r="M390" s="368"/>
      <c r="N390" s="368"/>
      <c r="O390" s="75">
        <v>55027</v>
      </c>
      <c r="P390" s="79">
        <f>O390/O$418</f>
        <v>0.42450916104146574</v>
      </c>
      <c r="Q390" s="372">
        <f>SUM(P390:P392)</f>
        <v>0.80617164898746374</v>
      </c>
      <c r="R390" s="372">
        <f>Q390</f>
        <v>0.80617164898746374</v>
      </c>
    </row>
    <row r="391" spans="2:18" ht="15" x14ac:dyDescent="0.25">
      <c r="B391" s="72">
        <v>2013</v>
      </c>
      <c r="C391" s="304" t="s">
        <v>107</v>
      </c>
      <c r="D391" s="304"/>
      <c r="E391" s="304"/>
      <c r="F391" s="304"/>
      <c r="G391" s="304"/>
      <c r="H391" s="304"/>
      <c r="I391" s="304"/>
      <c r="J391" s="304"/>
      <c r="K391" s="304"/>
      <c r="L391" s="304"/>
      <c r="M391" s="304"/>
      <c r="N391" s="304"/>
      <c r="O391" s="76">
        <v>48765</v>
      </c>
      <c r="P391" s="79">
        <f t="shared" ref="P391:P417" si="20">O391/O$418</f>
        <v>0.37620057859209255</v>
      </c>
      <c r="Q391" s="372"/>
      <c r="R391" s="372"/>
    </row>
    <row r="392" spans="2:18" ht="15.75" thickBot="1" x14ac:dyDescent="0.3">
      <c r="B392" s="73">
        <v>2013</v>
      </c>
      <c r="C392" s="295" t="s">
        <v>108</v>
      </c>
      <c r="D392" s="295"/>
      <c r="E392" s="295"/>
      <c r="F392" s="295"/>
      <c r="G392" s="295"/>
      <c r="H392" s="295"/>
      <c r="I392" s="295"/>
      <c r="J392" s="295"/>
      <c r="K392" s="295"/>
      <c r="L392" s="295"/>
      <c r="M392" s="295"/>
      <c r="N392" s="295"/>
      <c r="O392" s="77">
        <v>708</v>
      </c>
      <c r="P392" s="79">
        <f t="shared" si="20"/>
        <v>5.461909353905497E-3</v>
      </c>
      <c r="Q392" s="372"/>
      <c r="R392" s="372"/>
    </row>
    <row r="393" spans="2:18" ht="15" x14ac:dyDescent="0.25">
      <c r="B393" s="71">
        <v>2013</v>
      </c>
      <c r="C393" s="368" t="s">
        <v>109</v>
      </c>
      <c r="D393" s="368"/>
      <c r="E393" s="368"/>
      <c r="F393" s="368"/>
      <c r="G393" s="368"/>
      <c r="H393" s="368"/>
      <c r="I393" s="368"/>
      <c r="J393" s="368"/>
      <c r="K393" s="368"/>
      <c r="L393" s="368"/>
      <c r="M393" s="368"/>
      <c r="N393" s="368"/>
      <c r="O393" s="75">
        <v>3242</v>
      </c>
      <c r="P393" s="79">
        <f t="shared" si="20"/>
        <v>2.5010607521697203E-2</v>
      </c>
      <c r="Q393" s="372">
        <f>SUM(P393:P403)</f>
        <v>2.9739633558341375E-2</v>
      </c>
      <c r="R393" s="372">
        <f>SUM(Q393:Q417)</f>
        <v>0.19382835101253618</v>
      </c>
    </row>
    <row r="394" spans="2:18" ht="15" x14ac:dyDescent="0.25">
      <c r="B394" s="72">
        <v>2013</v>
      </c>
      <c r="C394" s="304" t="s">
        <v>110</v>
      </c>
      <c r="D394" s="304"/>
      <c r="E394" s="304"/>
      <c r="F394" s="304"/>
      <c r="G394" s="304"/>
      <c r="H394" s="304"/>
      <c r="I394" s="304"/>
      <c r="J394" s="304"/>
      <c r="K394" s="304"/>
      <c r="L394" s="304"/>
      <c r="M394" s="304"/>
      <c r="N394" s="304"/>
      <c r="O394" s="76">
        <v>98</v>
      </c>
      <c r="P394" s="79">
        <f t="shared" si="20"/>
        <v>7.5602700096432014E-4</v>
      </c>
      <c r="Q394" s="372"/>
      <c r="R394" s="372"/>
    </row>
    <row r="395" spans="2:18" ht="15" x14ac:dyDescent="0.25">
      <c r="B395" s="72">
        <v>2013</v>
      </c>
      <c r="C395" s="304" t="s">
        <v>111</v>
      </c>
      <c r="D395" s="304"/>
      <c r="E395" s="304"/>
      <c r="F395" s="304"/>
      <c r="G395" s="304"/>
      <c r="H395" s="304"/>
      <c r="I395" s="304"/>
      <c r="J395" s="304"/>
      <c r="K395" s="304"/>
      <c r="L395" s="304"/>
      <c r="M395" s="304"/>
      <c r="N395" s="304"/>
      <c r="O395" s="76">
        <v>23</v>
      </c>
      <c r="P395" s="79">
        <f t="shared" si="20"/>
        <v>1.7743490838958534E-4</v>
      </c>
      <c r="Q395" s="372"/>
      <c r="R395" s="372"/>
    </row>
    <row r="396" spans="2:18" ht="15" x14ac:dyDescent="0.25">
      <c r="B396" s="72">
        <v>2013</v>
      </c>
      <c r="C396" s="304" t="s">
        <v>112</v>
      </c>
      <c r="D396" s="304"/>
      <c r="E396" s="304"/>
      <c r="F396" s="304"/>
      <c r="G396" s="304"/>
      <c r="H396" s="304"/>
      <c r="I396" s="304"/>
      <c r="J396" s="304"/>
      <c r="K396" s="304"/>
      <c r="L396" s="304"/>
      <c r="M396" s="304"/>
      <c r="N396" s="304"/>
      <c r="O396" s="76">
        <v>123</v>
      </c>
      <c r="P396" s="79">
        <f t="shared" si="20"/>
        <v>9.4889103182256508E-4</v>
      </c>
      <c r="Q396" s="372"/>
      <c r="R396" s="372"/>
    </row>
    <row r="397" spans="2:18" ht="15" x14ac:dyDescent="0.25">
      <c r="B397" s="72">
        <v>2013</v>
      </c>
      <c r="C397" s="304" t="s">
        <v>113</v>
      </c>
      <c r="D397" s="304"/>
      <c r="E397" s="304"/>
      <c r="F397" s="304"/>
      <c r="G397" s="304"/>
      <c r="H397" s="304"/>
      <c r="I397" s="304"/>
      <c r="J397" s="304"/>
      <c r="K397" s="304"/>
      <c r="L397" s="304"/>
      <c r="M397" s="304"/>
      <c r="N397" s="304"/>
      <c r="O397" s="76">
        <v>31</v>
      </c>
      <c r="P397" s="79">
        <f t="shared" si="20"/>
        <v>2.3915139826422371E-4</v>
      </c>
      <c r="Q397" s="372"/>
      <c r="R397" s="372"/>
    </row>
    <row r="398" spans="2:18" ht="15" x14ac:dyDescent="0.25">
      <c r="B398" s="72">
        <v>2013</v>
      </c>
      <c r="C398" s="304" t="s">
        <v>114</v>
      </c>
      <c r="D398" s="304"/>
      <c r="E398" s="304"/>
      <c r="F398" s="304"/>
      <c r="G398" s="304"/>
      <c r="H398" s="304"/>
      <c r="I398" s="304"/>
      <c r="J398" s="304"/>
      <c r="K398" s="304"/>
      <c r="L398" s="304"/>
      <c r="M398" s="304"/>
      <c r="N398" s="304"/>
      <c r="O398" s="76">
        <v>260</v>
      </c>
      <c r="P398" s="79">
        <f t="shared" si="20"/>
        <v>2.0057859209257475E-3</v>
      </c>
      <c r="Q398" s="372"/>
      <c r="R398" s="372"/>
    </row>
    <row r="399" spans="2:18" ht="15" x14ac:dyDescent="0.25">
      <c r="B399" s="72">
        <v>2013</v>
      </c>
      <c r="C399" s="304" t="s">
        <v>115</v>
      </c>
      <c r="D399" s="304"/>
      <c r="E399" s="304"/>
      <c r="F399" s="304"/>
      <c r="G399" s="304"/>
      <c r="H399" s="304"/>
      <c r="I399" s="304"/>
      <c r="J399" s="304"/>
      <c r="K399" s="304"/>
      <c r="L399" s="304"/>
      <c r="M399" s="304"/>
      <c r="N399" s="304"/>
      <c r="O399" s="76">
        <v>37</v>
      </c>
      <c r="P399" s="79">
        <f t="shared" si="20"/>
        <v>2.8543876567020253E-4</v>
      </c>
      <c r="Q399" s="372"/>
      <c r="R399" s="372"/>
    </row>
    <row r="400" spans="2:18" ht="15" x14ac:dyDescent="0.25">
      <c r="B400" s="72">
        <v>2013</v>
      </c>
      <c r="C400" s="304" t="s">
        <v>116</v>
      </c>
      <c r="D400" s="304"/>
      <c r="E400" s="304"/>
      <c r="F400" s="304"/>
      <c r="G400" s="304"/>
      <c r="H400" s="304"/>
      <c r="I400" s="304"/>
      <c r="J400" s="304"/>
      <c r="K400" s="304"/>
      <c r="L400" s="304"/>
      <c r="M400" s="304"/>
      <c r="N400" s="304"/>
      <c r="O400" s="76">
        <v>1</v>
      </c>
      <c r="P400" s="79">
        <f t="shared" si="20"/>
        <v>7.7145612343297969E-6</v>
      </c>
      <c r="Q400" s="372"/>
      <c r="R400" s="372"/>
    </row>
    <row r="401" spans="2:18" ht="15" x14ac:dyDescent="0.25">
      <c r="B401" s="72">
        <v>2013</v>
      </c>
      <c r="C401" s="304" t="s">
        <v>117</v>
      </c>
      <c r="D401" s="304"/>
      <c r="E401" s="304"/>
      <c r="F401" s="304"/>
      <c r="G401" s="304"/>
      <c r="H401" s="304"/>
      <c r="I401" s="304"/>
      <c r="J401" s="304"/>
      <c r="K401" s="304"/>
      <c r="L401" s="304"/>
      <c r="M401" s="304"/>
      <c r="N401" s="304"/>
      <c r="O401" s="76">
        <v>2</v>
      </c>
      <c r="P401" s="79">
        <f t="shared" si="20"/>
        <v>1.5429122468659594E-5</v>
      </c>
      <c r="Q401" s="372"/>
      <c r="R401" s="372"/>
    </row>
    <row r="402" spans="2:18" ht="15" x14ac:dyDescent="0.25">
      <c r="B402" s="72">
        <v>2013</v>
      </c>
      <c r="C402" s="304" t="s">
        <v>118</v>
      </c>
      <c r="D402" s="304"/>
      <c r="E402" s="304"/>
      <c r="F402" s="304"/>
      <c r="G402" s="304"/>
      <c r="H402" s="304"/>
      <c r="I402" s="304"/>
      <c r="J402" s="304"/>
      <c r="K402" s="304"/>
      <c r="L402" s="304"/>
      <c r="M402" s="304"/>
      <c r="N402" s="304"/>
      <c r="O402" s="76">
        <v>37</v>
      </c>
      <c r="P402" s="79">
        <f t="shared" si="20"/>
        <v>2.8543876567020253E-4</v>
      </c>
      <c r="Q402" s="372"/>
      <c r="R402" s="372"/>
    </row>
    <row r="403" spans="2:18" ht="15.75" thickBot="1" x14ac:dyDescent="0.3">
      <c r="B403" s="73">
        <v>2013</v>
      </c>
      <c r="C403" s="295" t="s">
        <v>119</v>
      </c>
      <c r="D403" s="295"/>
      <c r="E403" s="295"/>
      <c r="F403" s="295"/>
      <c r="G403" s="295"/>
      <c r="H403" s="295"/>
      <c r="I403" s="295"/>
      <c r="J403" s="295"/>
      <c r="K403" s="295"/>
      <c r="L403" s="295"/>
      <c r="M403" s="295"/>
      <c r="N403" s="295"/>
      <c r="O403" s="77">
        <v>1</v>
      </c>
      <c r="P403" s="79">
        <f t="shared" si="20"/>
        <v>7.7145612343297969E-6</v>
      </c>
      <c r="Q403" s="372"/>
      <c r="R403" s="372"/>
    </row>
    <row r="404" spans="2:18" ht="15" x14ac:dyDescent="0.25">
      <c r="B404" s="71">
        <v>2013</v>
      </c>
      <c r="C404" s="368" t="s">
        <v>120</v>
      </c>
      <c r="D404" s="368"/>
      <c r="E404" s="368"/>
      <c r="F404" s="368"/>
      <c r="G404" s="368"/>
      <c r="H404" s="368"/>
      <c r="I404" s="368"/>
      <c r="J404" s="368"/>
      <c r="K404" s="368"/>
      <c r="L404" s="368"/>
      <c r="M404" s="368"/>
      <c r="N404" s="368"/>
      <c r="O404" s="75">
        <v>58</v>
      </c>
      <c r="P404" s="79">
        <f t="shared" si="20"/>
        <v>4.4744455159112826E-4</v>
      </c>
      <c r="Q404" s="372">
        <f>SUM(P404:P415)</f>
        <v>2.3174541947926709E-2</v>
      </c>
      <c r="R404" s="372"/>
    </row>
    <row r="405" spans="2:18" ht="15" x14ac:dyDescent="0.25">
      <c r="B405" s="72">
        <v>2013</v>
      </c>
      <c r="C405" s="304" t="s">
        <v>121</v>
      </c>
      <c r="D405" s="304"/>
      <c r="E405" s="304"/>
      <c r="F405" s="304"/>
      <c r="G405" s="304"/>
      <c r="H405" s="304"/>
      <c r="I405" s="304"/>
      <c r="J405" s="304"/>
      <c r="K405" s="304"/>
      <c r="L405" s="304"/>
      <c r="M405" s="304"/>
      <c r="N405" s="304"/>
      <c r="O405" s="76">
        <v>2680</v>
      </c>
      <c r="P405" s="79">
        <f t="shared" si="20"/>
        <v>2.0675024108003856E-2</v>
      </c>
      <c r="Q405" s="372"/>
      <c r="R405" s="372"/>
    </row>
    <row r="406" spans="2:18" ht="15" x14ac:dyDescent="0.25">
      <c r="B406" s="72">
        <v>2013</v>
      </c>
      <c r="C406" s="304" t="s">
        <v>122</v>
      </c>
      <c r="D406" s="304"/>
      <c r="E406" s="304"/>
      <c r="F406" s="304"/>
      <c r="G406" s="304"/>
      <c r="H406" s="304"/>
      <c r="I406" s="304"/>
      <c r="J406" s="304"/>
      <c r="K406" s="304"/>
      <c r="L406" s="304"/>
      <c r="M406" s="304"/>
      <c r="N406" s="304"/>
      <c r="O406" s="76">
        <v>3</v>
      </c>
      <c r="P406" s="79">
        <f t="shared" si="20"/>
        <v>2.3143683702989391E-5</v>
      </c>
      <c r="Q406" s="372"/>
      <c r="R406" s="372"/>
    </row>
    <row r="407" spans="2:18" ht="15" x14ac:dyDescent="0.25">
      <c r="B407" s="72">
        <v>2013</v>
      </c>
      <c r="C407" s="304" t="s">
        <v>123</v>
      </c>
      <c r="D407" s="304"/>
      <c r="E407" s="304"/>
      <c r="F407" s="304"/>
      <c r="G407" s="304"/>
      <c r="H407" s="304"/>
      <c r="I407" s="304"/>
      <c r="J407" s="304"/>
      <c r="K407" s="304"/>
      <c r="L407" s="304"/>
      <c r="M407" s="304"/>
      <c r="N407" s="304"/>
      <c r="O407" s="76">
        <v>91</v>
      </c>
      <c r="P407" s="79">
        <f t="shared" si="20"/>
        <v>7.0202507232401158E-4</v>
      </c>
      <c r="Q407" s="372"/>
      <c r="R407" s="372"/>
    </row>
    <row r="408" spans="2:18" ht="15" x14ac:dyDescent="0.25">
      <c r="B408" s="72">
        <v>2013</v>
      </c>
      <c r="C408" s="304" t="s">
        <v>124</v>
      </c>
      <c r="D408" s="304"/>
      <c r="E408" s="304"/>
      <c r="F408" s="304"/>
      <c r="G408" s="304"/>
      <c r="H408" s="304"/>
      <c r="I408" s="304"/>
      <c r="J408" s="304"/>
      <c r="K408" s="304"/>
      <c r="L408" s="304"/>
      <c r="M408" s="304"/>
      <c r="N408" s="304"/>
      <c r="O408" s="76">
        <v>76</v>
      </c>
      <c r="P408" s="79">
        <f t="shared" si="20"/>
        <v>5.8630665380906459E-4</v>
      </c>
      <c r="Q408" s="372"/>
      <c r="R408" s="372"/>
    </row>
    <row r="409" spans="2:18" ht="15" x14ac:dyDescent="0.25">
      <c r="B409" s="72">
        <v>2013</v>
      </c>
      <c r="C409" s="304" t="s">
        <v>125</v>
      </c>
      <c r="D409" s="304"/>
      <c r="E409" s="304"/>
      <c r="F409" s="304"/>
      <c r="G409" s="304"/>
      <c r="H409" s="304"/>
      <c r="I409" s="304"/>
      <c r="J409" s="304"/>
      <c r="K409" s="304"/>
      <c r="L409" s="304"/>
      <c r="M409" s="304"/>
      <c r="N409" s="304"/>
      <c r="O409" s="76">
        <v>33</v>
      </c>
      <c r="P409" s="79">
        <f t="shared" si="20"/>
        <v>2.5458052073288332E-4</v>
      </c>
      <c r="Q409" s="372"/>
      <c r="R409" s="372"/>
    </row>
    <row r="410" spans="2:18" ht="15" x14ac:dyDescent="0.25">
      <c r="B410" s="72">
        <v>2013</v>
      </c>
      <c r="C410" s="304" t="s">
        <v>126</v>
      </c>
      <c r="D410" s="304"/>
      <c r="E410" s="304"/>
      <c r="F410" s="304"/>
      <c r="G410" s="304"/>
      <c r="H410" s="304"/>
      <c r="I410" s="304"/>
      <c r="J410" s="304"/>
      <c r="K410" s="304"/>
      <c r="L410" s="304"/>
      <c r="M410" s="304"/>
      <c r="N410" s="304"/>
      <c r="O410" s="76">
        <v>29</v>
      </c>
      <c r="P410" s="79">
        <f t="shared" si="20"/>
        <v>2.2372227579556413E-4</v>
      </c>
      <c r="Q410" s="372"/>
      <c r="R410" s="372"/>
    </row>
    <row r="411" spans="2:18" ht="15" x14ac:dyDescent="0.25">
      <c r="B411" s="72">
        <v>2013</v>
      </c>
      <c r="C411" s="304" t="s">
        <v>127</v>
      </c>
      <c r="D411" s="304"/>
      <c r="E411" s="304"/>
      <c r="F411" s="304"/>
      <c r="G411" s="304"/>
      <c r="H411" s="304"/>
      <c r="I411" s="304"/>
      <c r="J411" s="304"/>
      <c r="K411" s="304"/>
      <c r="L411" s="304"/>
      <c r="M411" s="304"/>
      <c r="N411" s="304"/>
      <c r="O411" s="76">
        <v>24</v>
      </c>
      <c r="P411" s="79">
        <f t="shared" si="20"/>
        <v>1.8514946962391513E-4</v>
      </c>
      <c r="Q411" s="372"/>
      <c r="R411" s="372"/>
    </row>
    <row r="412" spans="2:18" ht="15" x14ac:dyDescent="0.25">
      <c r="B412" s="72">
        <v>2013</v>
      </c>
      <c r="C412" s="304" t="s">
        <v>128</v>
      </c>
      <c r="D412" s="304"/>
      <c r="E412" s="304"/>
      <c r="F412" s="304"/>
      <c r="G412" s="304"/>
      <c r="H412" s="304"/>
      <c r="I412" s="304"/>
      <c r="J412" s="304"/>
      <c r="K412" s="304"/>
      <c r="L412" s="304"/>
      <c r="M412" s="304"/>
      <c r="N412" s="304"/>
      <c r="O412" s="76">
        <v>1</v>
      </c>
      <c r="P412" s="79">
        <f t="shared" si="20"/>
        <v>7.7145612343297969E-6</v>
      </c>
      <c r="Q412" s="372"/>
      <c r="R412" s="372"/>
    </row>
    <row r="413" spans="2:18" ht="15" x14ac:dyDescent="0.25">
      <c r="B413" s="72">
        <v>2013</v>
      </c>
      <c r="C413" s="304" t="s">
        <v>133</v>
      </c>
      <c r="D413" s="304"/>
      <c r="E413" s="304"/>
      <c r="F413" s="304"/>
      <c r="G413" s="304"/>
      <c r="H413" s="304"/>
      <c r="I413" s="304"/>
      <c r="J413" s="304"/>
      <c r="K413" s="304"/>
      <c r="L413" s="304"/>
      <c r="M413" s="304"/>
      <c r="N413" s="304"/>
      <c r="O413" s="76">
        <v>2</v>
      </c>
      <c r="P413" s="79">
        <f t="shared" si="20"/>
        <v>1.5429122468659594E-5</v>
      </c>
      <c r="Q413" s="372"/>
      <c r="R413" s="372"/>
    </row>
    <row r="414" spans="2:18" ht="15" x14ac:dyDescent="0.25">
      <c r="B414" s="72">
        <v>2013</v>
      </c>
      <c r="C414" s="304" t="s">
        <v>129</v>
      </c>
      <c r="D414" s="304"/>
      <c r="E414" s="304"/>
      <c r="F414" s="304"/>
      <c r="G414" s="304"/>
      <c r="H414" s="304"/>
      <c r="I414" s="304"/>
      <c r="J414" s="304"/>
      <c r="K414" s="304"/>
      <c r="L414" s="304"/>
      <c r="M414" s="304"/>
      <c r="N414" s="304"/>
      <c r="O414" s="76">
        <v>6</v>
      </c>
      <c r="P414" s="79">
        <f t="shared" si="20"/>
        <v>4.6287367405978782E-5</v>
      </c>
      <c r="Q414" s="372"/>
      <c r="R414" s="372"/>
    </row>
    <row r="415" spans="2:18" ht="15.75" thickBot="1" x14ac:dyDescent="0.3">
      <c r="B415" s="73">
        <v>2013</v>
      </c>
      <c r="C415" s="295" t="s">
        <v>130</v>
      </c>
      <c r="D415" s="295"/>
      <c r="E415" s="295"/>
      <c r="F415" s="295"/>
      <c r="G415" s="295"/>
      <c r="H415" s="295"/>
      <c r="I415" s="295"/>
      <c r="J415" s="295"/>
      <c r="K415" s="295"/>
      <c r="L415" s="295"/>
      <c r="M415" s="295"/>
      <c r="N415" s="295"/>
      <c r="O415" s="77">
        <v>1</v>
      </c>
      <c r="P415" s="79">
        <f t="shared" si="20"/>
        <v>7.7145612343297969E-6</v>
      </c>
      <c r="Q415" s="372"/>
      <c r="R415" s="372"/>
    </row>
    <row r="416" spans="2:18" ht="15.75" thickBot="1" x14ac:dyDescent="0.3">
      <c r="B416" s="74">
        <v>2013</v>
      </c>
      <c r="C416" s="373" t="s">
        <v>131</v>
      </c>
      <c r="D416" s="373"/>
      <c r="E416" s="373"/>
      <c r="F416" s="373"/>
      <c r="G416" s="373"/>
      <c r="H416" s="373"/>
      <c r="I416" s="373"/>
      <c r="J416" s="373"/>
      <c r="K416" s="373"/>
      <c r="L416" s="373"/>
      <c r="M416" s="373"/>
      <c r="N416" s="373"/>
      <c r="O416" s="78">
        <v>18261</v>
      </c>
      <c r="P416" s="79">
        <f t="shared" si="20"/>
        <v>0.14087560270009644</v>
      </c>
      <c r="Q416" s="51">
        <f>P416</f>
        <v>0.14087560270009644</v>
      </c>
      <c r="R416" s="372"/>
    </row>
    <row r="417" spans="1:18" ht="15" x14ac:dyDescent="0.25">
      <c r="B417" s="80">
        <v>2013</v>
      </c>
      <c r="C417" s="374" t="s">
        <v>132</v>
      </c>
      <c r="D417" s="374"/>
      <c r="E417" s="374"/>
      <c r="F417" s="374"/>
      <c r="G417" s="374"/>
      <c r="H417" s="374"/>
      <c r="I417" s="374"/>
      <c r="J417" s="374"/>
      <c r="K417" s="374"/>
      <c r="L417" s="374"/>
      <c r="M417" s="374"/>
      <c r="N417" s="374"/>
      <c r="O417" s="81">
        <v>5</v>
      </c>
      <c r="P417" s="79">
        <f t="shared" si="20"/>
        <v>3.8572806171648985E-5</v>
      </c>
      <c r="Q417" s="51">
        <f>P417</f>
        <v>3.8572806171648985E-5</v>
      </c>
      <c r="R417" s="372"/>
    </row>
    <row r="418" spans="1:18" x14ac:dyDescent="0.2">
      <c r="B418" s="32">
        <v>2013</v>
      </c>
      <c r="C418" s="371" t="s">
        <v>134</v>
      </c>
      <c r="D418" s="371"/>
      <c r="E418" s="371"/>
      <c r="F418" s="371"/>
      <c r="G418" s="371"/>
      <c r="H418" s="371"/>
      <c r="I418" s="371"/>
      <c r="J418" s="371"/>
      <c r="K418" s="371"/>
      <c r="L418" s="371"/>
      <c r="M418" s="371"/>
      <c r="N418" s="371"/>
      <c r="O418" s="32">
        <f>SUM(O390:O417)</f>
        <v>129625</v>
      </c>
    </row>
    <row r="421" spans="1:18" ht="30" x14ac:dyDescent="0.25">
      <c r="A421" s="171" t="s">
        <v>173</v>
      </c>
      <c r="B421" s="171" t="s">
        <v>172</v>
      </c>
      <c r="C421" s="171" t="s">
        <v>169</v>
      </c>
      <c r="D421" s="171" t="s">
        <v>170</v>
      </c>
    </row>
    <row r="422" spans="1:18" ht="15" x14ac:dyDescent="0.25">
      <c r="A422" s="152" t="s">
        <v>14</v>
      </c>
      <c r="B422" s="153">
        <v>35</v>
      </c>
      <c r="C422" s="163">
        <f t="shared" ref="C422:C447" si="21">B422/D422</f>
        <v>6.064806792583608E-3</v>
      </c>
      <c r="D422" s="153">
        <v>5771</v>
      </c>
    </row>
    <row r="423" spans="1:18" ht="15" x14ac:dyDescent="0.25">
      <c r="A423" s="152" t="s">
        <v>15</v>
      </c>
      <c r="B423" s="153">
        <v>4</v>
      </c>
      <c r="C423" s="163">
        <f t="shared" si="21"/>
        <v>1.1114198388441233E-3</v>
      </c>
      <c r="D423" s="153">
        <v>3599</v>
      </c>
    </row>
    <row r="424" spans="1:18" ht="15" x14ac:dyDescent="0.25">
      <c r="A424" s="152" t="s">
        <v>16</v>
      </c>
      <c r="B424" s="153">
        <v>24</v>
      </c>
      <c r="C424" s="163">
        <f t="shared" si="21"/>
        <v>1.2644889357218124E-2</v>
      </c>
      <c r="D424" s="153">
        <v>1898</v>
      </c>
    </row>
    <row r="425" spans="1:18" ht="15" x14ac:dyDescent="0.25">
      <c r="A425" s="152" t="s">
        <v>85</v>
      </c>
      <c r="B425" s="153">
        <v>190</v>
      </c>
      <c r="C425" s="163">
        <f t="shared" si="21"/>
        <v>0.7421875</v>
      </c>
      <c r="D425" s="153">
        <v>256</v>
      </c>
    </row>
    <row r="426" spans="1:18" ht="15" x14ac:dyDescent="0.25">
      <c r="A426" s="152" t="s">
        <v>17</v>
      </c>
      <c r="B426" s="153">
        <v>6</v>
      </c>
      <c r="C426" s="163">
        <f t="shared" si="21"/>
        <v>3.1695721077654518E-3</v>
      </c>
      <c r="D426" s="153">
        <v>1893</v>
      </c>
    </row>
    <row r="427" spans="1:18" ht="15" x14ac:dyDescent="0.25">
      <c r="A427" s="152" t="s">
        <v>18</v>
      </c>
      <c r="B427" s="153">
        <v>1015</v>
      </c>
      <c r="C427" s="163">
        <f t="shared" si="21"/>
        <v>6.550500161342368E-2</v>
      </c>
      <c r="D427" s="153">
        <v>15495</v>
      </c>
    </row>
    <row r="428" spans="1:18" ht="15" x14ac:dyDescent="0.25">
      <c r="A428" s="152" t="s">
        <v>19</v>
      </c>
      <c r="B428" s="153">
        <v>38</v>
      </c>
      <c r="C428" s="163">
        <f t="shared" si="21"/>
        <v>5.2486187845303865E-2</v>
      </c>
      <c r="D428" s="153">
        <v>724</v>
      </c>
    </row>
    <row r="429" spans="1:18" ht="15" x14ac:dyDescent="0.25">
      <c r="A429" s="152" t="s">
        <v>20</v>
      </c>
      <c r="B429" s="153">
        <v>44</v>
      </c>
      <c r="C429" s="163">
        <f t="shared" si="21"/>
        <v>3.5031847133757961E-2</v>
      </c>
      <c r="D429" s="153">
        <v>1256</v>
      </c>
    </row>
    <row r="430" spans="1:18" ht="15" x14ac:dyDescent="0.25">
      <c r="A430" s="152" t="s">
        <v>21</v>
      </c>
      <c r="B430" s="153">
        <v>150</v>
      </c>
      <c r="C430" s="163">
        <f t="shared" si="21"/>
        <v>2.6548672566371681E-2</v>
      </c>
      <c r="D430" s="153">
        <v>5650</v>
      </c>
    </row>
    <row r="431" spans="1:18" ht="15" x14ac:dyDescent="0.25">
      <c r="A431" s="152" t="s">
        <v>22</v>
      </c>
      <c r="B431" s="153">
        <v>10</v>
      </c>
      <c r="C431" s="163">
        <f t="shared" si="21"/>
        <v>1.9723865877712032E-2</v>
      </c>
      <c r="D431" s="153">
        <v>507</v>
      </c>
    </row>
    <row r="432" spans="1:18" ht="15" x14ac:dyDescent="0.25">
      <c r="A432" s="152" t="s">
        <v>23</v>
      </c>
      <c r="B432" s="153">
        <v>314</v>
      </c>
      <c r="C432" s="163">
        <f t="shared" si="21"/>
        <v>3.3586479837415764E-2</v>
      </c>
      <c r="D432" s="153">
        <v>9349</v>
      </c>
    </row>
    <row r="433" spans="1:4" ht="15" x14ac:dyDescent="0.25">
      <c r="A433" s="152" t="s">
        <v>24</v>
      </c>
      <c r="B433" s="153">
        <f>124+1</f>
        <v>125</v>
      </c>
      <c r="C433" s="163">
        <f t="shared" si="21"/>
        <v>2.4841017488076312E-2</v>
      </c>
      <c r="D433" s="153">
        <v>5032</v>
      </c>
    </row>
    <row r="434" spans="1:4" ht="15" x14ac:dyDescent="0.25">
      <c r="A434" s="152" t="s">
        <v>25</v>
      </c>
      <c r="B434" s="153">
        <v>394</v>
      </c>
      <c r="C434" s="163">
        <f t="shared" si="21"/>
        <v>0.39878542510121456</v>
      </c>
      <c r="D434" s="153">
        <v>988</v>
      </c>
    </row>
    <row r="435" spans="1:4" ht="15" x14ac:dyDescent="0.25">
      <c r="A435" s="152" t="s">
        <v>95</v>
      </c>
      <c r="B435" s="153">
        <v>18</v>
      </c>
      <c r="C435" s="163">
        <f t="shared" si="21"/>
        <v>1.4342629482071713E-2</v>
      </c>
      <c r="D435" s="153">
        <v>1255</v>
      </c>
    </row>
    <row r="436" spans="1:4" ht="15" x14ac:dyDescent="0.25">
      <c r="A436" s="152" t="s">
        <v>2</v>
      </c>
      <c r="B436" s="153">
        <v>1208</v>
      </c>
      <c r="C436" s="163">
        <f t="shared" si="21"/>
        <v>0.59861248761149655</v>
      </c>
      <c r="D436" s="153">
        <v>2018</v>
      </c>
    </row>
    <row r="437" spans="1:4" ht="15" x14ac:dyDescent="0.25">
      <c r="A437" s="152" t="s">
        <v>26</v>
      </c>
      <c r="B437" s="153">
        <v>129</v>
      </c>
      <c r="C437" s="163">
        <f t="shared" si="21"/>
        <v>5.5269922879177376E-2</v>
      </c>
      <c r="D437" s="153">
        <v>2334</v>
      </c>
    </row>
    <row r="438" spans="1:4" ht="15" x14ac:dyDescent="0.25">
      <c r="A438" s="152" t="s">
        <v>82</v>
      </c>
      <c r="B438" s="153">
        <v>952</v>
      </c>
      <c r="C438" s="163">
        <f t="shared" si="21"/>
        <v>0.12771666219479474</v>
      </c>
      <c r="D438" s="153">
        <v>7454</v>
      </c>
    </row>
    <row r="439" spans="1:4" ht="15" x14ac:dyDescent="0.25">
      <c r="A439" s="152" t="s">
        <v>27</v>
      </c>
      <c r="B439" s="153">
        <v>156</v>
      </c>
      <c r="C439" s="163">
        <f t="shared" si="21"/>
        <v>2.0903122068873108E-2</v>
      </c>
      <c r="D439" s="153">
        <v>7463</v>
      </c>
    </row>
    <row r="440" spans="1:4" ht="15" x14ac:dyDescent="0.25">
      <c r="A440" s="152" t="s">
        <v>96</v>
      </c>
      <c r="B440" s="153">
        <v>8</v>
      </c>
      <c r="C440" s="163">
        <f t="shared" si="21"/>
        <v>4.1025641025641026E-2</v>
      </c>
      <c r="D440" s="153">
        <v>195</v>
      </c>
    </row>
    <row r="441" spans="1:4" ht="15" x14ac:dyDescent="0.25">
      <c r="A441" s="152" t="s">
        <v>28</v>
      </c>
      <c r="B441" s="153">
        <v>715</v>
      </c>
      <c r="C441" s="163">
        <f t="shared" si="21"/>
        <v>0.32134831460674157</v>
      </c>
      <c r="D441" s="153">
        <v>2225</v>
      </c>
    </row>
    <row r="442" spans="1:4" ht="15" x14ac:dyDescent="0.25">
      <c r="A442" s="152" t="s">
        <v>29</v>
      </c>
      <c r="B442" s="153">
        <v>43</v>
      </c>
      <c r="C442" s="163">
        <f t="shared" si="21"/>
        <v>1.8151118615449557E-2</v>
      </c>
      <c r="D442" s="153">
        <v>2369</v>
      </c>
    </row>
    <row r="443" spans="1:4" ht="15" x14ac:dyDescent="0.25">
      <c r="A443" s="152" t="s">
        <v>30</v>
      </c>
      <c r="B443" s="153">
        <v>2371</v>
      </c>
      <c r="C443" s="163">
        <f t="shared" si="21"/>
        <v>6.2778013132810839E-2</v>
      </c>
      <c r="D443" s="153">
        <v>37768</v>
      </c>
    </row>
    <row r="444" spans="1:4" ht="15" x14ac:dyDescent="0.25">
      <c r="A444" s="152" t="s">
        <v>31</v>
      </c>
      <c r="B444" s="153">
        <f>10861+40</f>
        <v>10901</v>
      </c>
      <c r="C444" s="163">
        <f t="shared" si="21"/>
        <v>0.78458327335540523</v>
      </c>
      <c r="D444" s="153">
        <v>13894</v>
      </c>
    </row>
    <row r="445" spans="1:4" ht="15" x14ac:dyDescent="0.25">
      <c r="A445" s="152" t="s">
        <v>98</v>
      </c>
      <c r="B445" s="153">
        <v>14</v>
      </c>
      <c r="C445" s="163">
        <f t="shared" si="21"/>
        <v>9.3959731543624164E-2</v>
      </c>
      <c r="D445" s="153">
        <v>149</v>
      </c>
    </row>
    <row r="446" spans="1:4" ht="15.75" thickBot="1" x14ac:dyDescent="0.3">
      <c r="A446" s="164" t="s">
        <v>3</v>
      </c>
      <c r="B446" s="165">
        <v>2</v>
      </c>
      <c r="C446" s="166">
        <f t="shared" si="21"/>
        <v>2.7434842249657062E-3</v>
      </c>
      <c r="D446" s="165">
        <v>729</v>
      </c>
    </row>
    <row r="447" spans="1:4" ht="15.75" thickBot="1" x14ac:dyDescent="0.3">
      <c r="A447" s="167" t="s">
        <v>174</v>
      </c>
      <c r="B447" s="168">
        <f>SUM(B422:B446)</f>
        <v>18866</v>
      </c>
      <c r="C447" s="169">
        <f t="shared" si="21"/>
        <v>0.14482118046226711</v>
      </c>
      <c r="D447" s="170">
        <f>SUM(D422:D446)</f>
        <v>130271</v>
      </c>
    </row>
    <row r="451" spans="2:8" x14ac:dyDescent="0.2">
      <c r="B451" s="32" t="s">
        <v>52</v>
      </c>
      <c r="C451" s="343" t="s">
        <v>53</v>
      </c>
      <c r="D451" s="344"/>
      <c r="E451" s="344"/>
      <c r="F451" s="345"/>
      <c r="G451" s="31">
        <v>6035</v>
      </c>
    </row>
    <row r="452" spans="2:8" x14ac:dyDescent="0.2">
      <c r="B452" s="32" t="s">
        <v>54</v>
      </c>
      <c r="C452" s="343" t="s">
        <v>55</v>
      </c>
      <c r="D452" s="344"/>
      <c r="E452" s="344"/>
      <c r="F452" s="345"/>
      <c r="G452" s="31">
        <v>1685</v>
      </c>
      <c r="H452" s="203">
        <f>G452/G451</f>
        <v>0.27920463960231978</v>
      </c>
    </row>
    <row r="453" spans="2:8" x14ac:dyDescent="0.2">
      <c r="B453" s="32" t="s">
        <v>56</v>
      </c>
      <c r="C453" s="346" t="s">
        <v>62</v>
      </c>
      <c r="D453" s="344"/>
      <c r="E453" s="344"/>
      <c r="F453" s="345"/>
      <c r="G453" s="31">
        <v>3712</v>
      </c>
      <c r="H453" s="203">
        <f>G453/G451</f>
        <v>0.61507870753935379</v>
      </c>
    </row>
  </sheetData>
  <mergeCells count="109">
    <mergeCell ref="C418:N418"/>
    <mergeCell ref="Q390:Q392"/>
    <mergeCell ref="Q393:Q403"/>
    <mergeCell ref="Q404:Q415"/>
    <mergeCell ref="R393:R417"/>
    <mergeCell ref="R390:R392"/>
    <mergeCell ref="C413:N413"/>
    <mergeCell ref="C414:N414"/>
    <mergeCell ref="C415:N415"/>
    <mergeCell ref="C416:N416"/>
    <mergeCell ref="C417:N417"/>
    <mergeCell ref="C408:N408"/>
    <mergeCell ref="C409:N409"/>
    <mergeCell ref="C410:N410"/>
    <mergeCell ref="C411:N411"/>
    <mergeCell ref="C412:N412"/>
    <mergeCell ref="C399:N399"/>
    <mergeCell ref="C400:N400"/>
    <mergeCell ref="C401:N401"/>
    <mergeCell ref="C402:N402"/>
    <mergeCell ref="C407:N407"/>
    <mergeCell ref="C403:N403"/>
    <mergeCell ref="C404:N404"/>
    <mergeCell ref="C405:N405"/>
    <mergeCell ref="A141:G141"/>
    <mergeCell ref="A169:E169"/>
    <mergeCell ref="A170:C170"/>
    <mergeCell ref="A171:C171"/>
    <mergeCell ref="B150:E150"/>
    <mergeCell ref="C406:N406"/>
    <mergeCell ref="C394:N394"/>
    <mergeCell ref="C395:N395"/>
    <mergeCell ref="C396:N396"/>
    <mergeCell ref="C397:N397"/>
    <mergeCell ref="C398:N398"/>
    <mergeCell ref="C389:N389"/>
    <mergeCell ref="C390:N390"/>
    <mergeCell ref="C391:N391"/>
    <mergeCell ref="C392:N392"/>
    <mergeCell ref="C393:N393"/>
    <mergeCell ref="A172:C172"/>
    <mergeCell ref="A267:B267"/>
    <mergeCell ref="A302:B302"/>
    <mergeCell ref="A205:D205"/>
    <mergeCell ref="A276:C276"/>
    <mergeCell ref="A201:E201"/>
    <mergeCell ref="A185:D185"/>
    <mergeCell ref="A382:D382"/>
    <mergeCell ref="B145:E145"/>
    <mergeCell ref="B146:E146"/>
    <mergeCell ref="B147:E147"/>
    <mergeCell ref="B148:E148"/>
    <mergeCell ref="B149:E149"/>
    <mergeCell ref="A196:E196"/>
    <mergeCell ref="A197:E197"/>
    <mergeCell ref="B151:E151"/>
    <mergeCell ref="A199:E199"/>
    <mergeCell ref="B152:E152"/>
    <mergeCell ref="A165:C165"/>
    <mergeCell ref="A190:D190"/>
    <mergeCell ref="A184:F184"/>
    <mergeCell ref="C2:I2"/>
    <mergeCell ref="A374:B374"/>
    <mergeCell ref="A337:B337"/>
    <mergeCell ref="C10:I10"/>
    <mergeCell ref="C11:I11"/>
    <mergeCell ref="C12:I12"/>
    <mergeCell ref="C13:I13"/>
    <mergeCell ref="C14:I14"/>
    <mergeCell ref="A194:E194"/>
    <mergeCell ref="A195:E195"/>
    <mergeCell ref="A178:C178"/>
    <mergeCell ref="A179:C179"/>
    <mergeCell ref="A180:C180"/>
    <mergeCell ref="A181:C181"/>
    <mergeCell ref="A311:C311"/>
    <mergeCell ref="C6:I6"/>
    <mergeCell ref="C3:I3"/>
    <mergeCell ref="C4:I4"/>
    <mergeCell ref="C5:I5"/>
    <mergeCell ref="A88:D88"/>
    <mergeCell ref="B142:E142"/>
    <mergeCell ref="B143:E143"/>
    <mergeCell ref="B153:E153"/>
    <mergeCell ref="A200:E200"/>
    <mergeCell ref="C451:F451"/>
    <mergeCell ref="C452:F452"/>
    <mergeCell ref="C453:F453"/>
    <mergeCell ref="C7:I7"/>
    <mergeCell ref="C8:I8"/>
    <mergeCell ref="C9:I9"/>
    <mergeCell ref="A154:E154"/>
    <mergeCell ref="A17:C17"/>
    <mergeCell ref="A64:B64"/>
    <mergeCell ref="A348:C348"/>
    <mergeCell ref="D177:E177"/>
    <mergeCell ref="F177:G177"/>
    <mergeCell ref="A176:G176"/>
    <mergeCell ref="A186:D186"/>
    <mergeCell ref="A187:D187"/>
    <mergeCell ref="A188:D188"/>
    <mergeCell ref="A189:D189"/>
    <mergeCell ref="A198:E198"/>
    <mergeCell ref="A241:C241"/>
    <mergeCell ref="A193:G193"/>
    <mergeCell ref="A164:E164"/>
    <mergeCell ref="A166:C166"/>
    <mergeCell ref="A167:C167"/>
    <mergeCell ref="B144:E144"/>
  </mergeCells>
  <conditionalFormatting sqref="A242:C266">
    <cfRule type="colorScale" priority="4">
      <colorScale>
        <cfvo type="min"/>
        <cfvo type="max"/>
        <color rgb="FFFCFCFF"/>
        <color rgb="FF63BE7B"/>
      </colorScale>
    </cfRule>
  </conditionalFormatting>
  <conditionalFormatting sqref="C422:C446">
    <cfRule type="aboveAverage" dxfId="37" priority="3" stopIfTrue="1"/>
  </conditionalFormatting>
  <conditionalFormatting sqref="C277:C301">
    <cfRule type="top10" dxfId="36" priority="2" rank="3"/>
  </conditionalFormatting>
  <conditionalFormatting sqref="C312:C336">
    <cfRule type="top10" dxfId="35" priority="1" rank="3"/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horizontalDpi="4294967295" verticalDpi="4294967295" r:id="rId1"/>
  <headerFooter alignWithMargins="0">
    <oddHeader>&amp;L&amp;G&amp;C&amp;D&amp;R&amp;F</oddHeader>
  </headerFooter>
  <rowBreaks count="9" manualBreakCount="9">
    <brk id="15" max="16383" man="1"/>
    <brk id="62" max="16383" man="1"/>
    <brk id="86" max="16383" man="1"/>
    <brk id="139" max="16383" man="1"/>
    <brk id="174" max="16383" man="1"/>
    <brk id="203" max="16383" man="1"/>
    <brk id="239" max="16383" man="1"/>
    <brk id="274" max="16383" man="1"/>
    <brk id="309" max="16383" man="1"/>
  </rowBreaks>
  <ignoredErrors>
    <ignoredError sqref="B6 C18:C22 B102 G142:G153 F154 E165:E166 D167 E170:E171 D172 C266 A267 C301 A302 C336 A337 E178:E179 C24:C29 D102 C242:C254 C277:C289 C312:C324 C256:C259 C291:C294 C326:C329 C261:C264 C296:C299 C331:C334" unlockedFormula="1"/>
  </ignoredError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Q456"/>
  <sheetViews>
    <sheetView zoomScaleNormal="100" workbookViewId="0">
      <selection activeCell="A2" sqref="A2"/>
    </sheetView>
  </sheetViews>
  <sheetFormatPr defaultRowHeight="12.75" x14ac:dyDescent="0.2"/>
  <cols>
    <col min="1" max="1" width="4.7109375" style="27" customWidth="1"/>
    <col min="2" max="2" width="9.140625" style="27" customWidth="1"/>
    <col min="3" max="3" width="7.28515625" style="27" customWidth="1"/>
    <col min="4" max="4" width="9" style="27" customWidth="1"/>
    <col min="5" max="5" width="9.140625" style="27"/>
    <col min="6" max="6" width="9" style="27" customWidth="1"/>
    <col min="7" max="16384" width="9.140625" style="27"/>
  </cols>
  <sheetData>
    <row r="1" spans="1:11" ht="20.25" thickBot="1" x14ac:dyDescent="0.35">
      <c r="A1" s="215" t="s">
        <v>179</v>
      </c>
    </row>
    <row r="2" spans="1:11" ht="16.5" thickTop="1" thickBot="1" x14ac:dyDescent="0.3">
      <c r="A2" s="86" t="s">
        <v>136</v>
      </c>
      <c r="B2" s="85"/>
      <c r="C2" s="308" t="s">
        <v>135</v>
      </c>
      <c r="D2" s="309"/>
      <c r="E2" s="309"/>
      <c r="F2" s="309"/>
      <c r="G2" s="309"/>
      <c r="H2" s="309"/>
      <c r="I2" s="309"/>
      <c r="J2" s="309"/>
    </row>
    <row r="3" spans="1:11" ht="13.5" thickTop="1" x14ac:dyDescent="0.2">
      <c r="A3" s="28" t="s">
        <v>80</v>
      </c>
      <c r="B3" s="29">
        <v>25</v>
      </c>
      <c r="C3" s="347" t="s">
        <v>140</v>
      </c>
      <c r="D3" s="347"/>
      <c r="E3" s="347"/>
      <c r="F3" s="347"/>
      <c r="G3" s="347"/>
      <c r="H3" s="347"/>
      <c r="I3" s="347"/>
      <c r="J3" s="347"/>
      <c r="K3" s="30"/>
    </row>
    <row r="4" spans="1:11" x14ac:dyDescent="0.2">
      <c r="A4" s="28" t="s">
        <v>83</v>
      </c>
      <c r="B4" s="29">
        <v>25</v>
      </c>
      <c r="C4" s="347"/>
      <c r="D4" s="347"/>
      <c r="E4" s="347"/>
      <c r="F4" s="347"/>
      <c r="G4" s="347"/>
      <c r="H4" s="347"/>
      <c r="I4" s="347"/>
      <c r="J4" s="347"/>
      <c r="K4" s="30"/>
    </row>
    <row r="5" spans="1:11" x14ac:dyDescent="0.2">
      <c r="A5" s="28" t="s">
        <v>84</v>
      </c>
      <c r="B5" s="29">
        <v>25</v>
      </c>
      <c r="C5" s="347"/>
      <c r="D5" s="347"/>
      <c r="E5" s="347"/>
      <c r="F5" s="347"/>
      <c r="G5" s="347"/>
      <c r="H5" s="347"/>
      <c r="I5" s="347"/>
      <c r="J5" s="347"/>
      <c r="K5" s="30"/>
    </row>
    <row r="6" spans="1:11" x14ac:dyDescent="0.2">
      <c r="A6" s="28" t="s">
        <v>32</v>
      </c>
      <c r="B6" s="29">
        <v>25</v>
      </c>
      <c r="C6" s="347" t="s">
        <v>182</v>
      </c>
      <c r="D6" s="347"/>
      <c r="E6" s="347"/>
      <c r="F6" s="347"/>
      <c r="G6" s="347"/>
      <c r="H6" s="347"/>
      <c r="I6" s="347"/>
      <c r="J6" s="347"/>
      <c r="K6" s="30"/>
    </row>
    <row r="7" spans="1:11" x14ac:dyDescent="0.2">
      <c r="A7" s="31" t="s">
        <v>4</v>
      </c>
      <c r="B7" s="29">
        <v>25</v>
      </c>
      <c r="C7" s="347"/>
      <c r="D7" s="347"/>
      <c r="E7" s="347"/>
      <c r="F7" s="347"/>
      <c r="G7" s="347"/>
      <c r="H7" s="347"/>
      <c r="I7" s="347"/>
      <c r="J7" s="347"/>
      <c r="K7" s="30"/>
    </row>
    <row r="8" spans="1:11" x14ac:dyDescent="0.2">
      <c r="A8" s="31" t="s">
        <v>5</v>
      </c>
      <c r="B8" s="29">
        <v>25</v>
      </c>
      <c r="C8" s="347"/>
      <c r="D8" s="347"/>
      <c r="E8" s="347"/>
      <c r="F8" s="347"/>
      <c r="G8" s="347"/>
      <c r="H8" s="347"/>
      <c r="I8" s="347"/>
      <c r="J8" s="347"/>
    </row>
    <row r="9" spans="1:11" x14ac:dyDescent="0.2">
      <c r="A9" s="32" t="s">
        <v>6</v>
      </c>
      <c r="B9" s="29">
        <v>25</v>
      </c>
      <c r="C9" s="347"/>
      <c r="D9" s="347"/>
      <c r="E9" s="347"/>
      <c r="F9" s="347"/>
      <c r="G9" s="347"/>
      <c r="H9" s="347"/>
      <c r="I9" s="347"/>
      <c r="J9" s="347"/>
    </row>
    <row r="10" spans="1:11" x14ac:dyDescent="0.2">
      <c r="A10" s="32" t="s">
        <v>7</v>
      </c>
      <c r="B10" s="29">
        <v>25</v>
      </c>
      <c r="C10" s="347"/>
      <c r="D10" s="347"/>
      <c r="E10" s="347"/>
      <c r="F10" s="347"/>
      <c r="G10" s="347"/>
      <c r="H10" s="347"/>
      <c r="I10" s="347"/>
      <c r="J10" s="347"/>
    </row>
    <row r="11" spans="1:11" x14ac:dyDescent="0.2">
      <c r="A11" s="32" t="s">
        <v>8</v>
      </c>
      <c r="B11" s="29">
        <v>25</v>
      </c>
      <c r="C11" s="347"/>
      <c r="D11" s="347"/>
      <c r="E11" s="347"/>
      <c r="F11" s="347"/>
      <c r="G11" s="347"/>
      <c r="H11" s="347"/>
      <c r="I11" s="347"/>
      <c r="J11" s="347"/>
    </row>
    <row r="12" spans="1:11" x14ac:dyDescent="0.2">
      <c r="A12" s="32" t="s">
        <v>9</v>
      </c>
      <c r="B12" s="29">
        <v>25</v>
      </c>
      <c r="C12" s="413"/>
      <c r="D12" s="413"/>
      <c r="E12" s="413"/>
      <c r="F12" s="413"/>
      <c r="G12" s="413"/>
      <c r="H12" s="413"/>
      <c r="I12" s="413"/>
      <c r="J12" s="413"/>
    </row>
    <row r="13" spans="1:11" x14ac:dyDescent="0.2">
      <c r="A13" s="32" t="s">
        <v>10</v>
      </c>
      <c r="B13" s="29">
        <v>25</v>
      </c>
      <c r="C13" s="347"/>
      <c r="D13" s="347"/>
      <c r="E13" s="347"/>
      <c r="F13" s="347"/>
      <c r="G13" s="347"/>
      <c r="H13" s="347"/>
      <c r="I13" s="347"/>
      <c r="J13" s="347"/>
    </row>
    <row r="14" spans="1:11" x14ac:dyDescent="0.2">
      <c r="A14" s="32" t="s">
        <v>12</v>
      </c>
      <c r="B14" s="29">
        <v>25</v>
      </c>
      <c r="C14" s="347"/>
      <c r="D14" s="347"/>
      <c r="E14" s="347"/>
      <c r="F14" s="347"/>
      <c r="G14" s="347"/>
      <c r="H14" s="347"/>
      <c r="I14" s="347"/>
      <c r="J14" s="347"/>
    </row>
    <row r="17" spans="1:4" s="97" customFormat="1" ht="26.25" customHeight="1" x14ac:dyDescent="0.2">
      <c r="A17" s="351" t="s">
        <v>141</v>
      </c>
      <c r="B17" s="351"/>
      <c r="C17" s="351"/>
      <c r="D17" s="96"/>
    </row>
    <row r="18" spans="1:4" x14ac:dyDescent="0.2">
      <c r="A18" s="28" t="s">
        <v>80</v>
      </c>
      <c r="B18" s="29">
        <v>350</v>
      </c>
      <c r="C18" s="34">
        <f>B18/(B3*(B3-1))</f>
        <v>0.58333333333333337</v>
      </c>
      <c r="D18" s="33"/>
    </row>
    <row r="19" spans="1:4" x14ac:dyDescent="0.2">
      <c r="A19" s="31" t="s">
        <v>83</v>
      </c>
      <c r="B19" s="29">
        <v>364</v>
      </c>
      <c r="C19" s="34">
        <f t="shared" ref="C19:C29" si="0">B19/(B4*(B4-1))</f>
        <v>0.60666666666666669</v>
      </c>
      <c r="D19" s="33"/>
    </row>
    <row r="20" spans="1:4" x14ac:dyDescent="0.2">
      <c r="A20" s="31" t="s">
        <v>84</v>
      </c>
      <c r="B20" s="29">
        <v>380</v>
      </c>
      <c r="C20" s="34">
        <f t="shared" si="0"/>
        <v>0.6333333333333333</v>
      </c>
      <c r="D20" s="33"/>
    </row>
    <row r="21" spans="1:4" x14ac:dyDescent="0.2">
      <c r="A21" s="28" t="s">
        <v>32</v>
      </c>
      <c r="B21" s="29">
        <v>394</v>
      </c>
      <c r="C21" s="34">
        <f t="shared" si="0"/>
        <v>0.65666666666666662</v>
      </c>
      <c r="D21" s="33"/>
    </row>
    <row r="22" spans="1:4" x14ac:dyDescent="0.2">
      <c r="A22" s="31" t="s">
        <v>4</v>
      </c>
      <c r="B22" s="29">
        <v>404</v>
      </c>
      <c r="C22" s="34">
        <f t="shared" si="0"/>
        <v>0.67333333333333334</v>
      </c>
      <c r="D22" s="33"/>
    </row>
    <row r="23" spans="1:4" x14ac:dyDescent="0.2">
      <c r="A23" s="31" t="s">
        <v>5</v>
      </c>
      <c r="B23" s="29">
        <v>426</v>
      </c>
      <c r="C23" s="34">
        <f t="shared" si="0"/>
        <v>0.71</v>
      </c>
      <c r="D23" s="33"/>
    </row>
    <row r="24" spans="1:4" x14ac:dyDescent="0.2">
      <c r="A24" s="32" t="s">
        <v>6</v>
      </c>
      <c r="B24" s="29">
        <v>426</v>
      </c>
      <c r="C24" s="34">
        <f t="shared" si="0"/>
        <v>0.71</v>
      </c>
      <c r="D24" s="33"/>
    </row>
    <row r="25" spans="1:4" x14ac:dyDescent="0.2">
      <c r="A25" s="32" t="s">
        <v>7</v>
      </c>
      <c r="B25" s="29">
        <v>428</v>
      </c>
      <c r="C25" s="34">
        <f t="shared" si="0"/>
        <v>0.71333333333333337</v>
      </c>
      <c r="D25" s="33"/>
    </row>
    <row r="26" spans="1:4" x14ac:dyDescent="0.2">
      <c r="A26" s="32" t="s">
        <v>8</v>
      </c>
      <c r="B26" s="29">
        <v>448</v>
      </c>
      <c r="C26" s="34">
        <f t="shared" si="0"/>
        <v>0.7466666666666667</v>
      </c>
      <c r="D26" s="33"/>
    </row>
    <row r="27" spans="1:4" x14ac:dyDescent="0.2">
      <c r="A27" s="32" t="s">
        <v>9</v>
      </c>
      <c r="B27" s="29">
        <v>458</v>
      </c>
      <c r="C27" s="34">
        <f t="shared" si="0"/>
        <v>0.76333333333333331</v>
      </c>
    </row>
    <row r="28" spans="1:4" x14ac:dyDescent="0.2">
      <c r="A28" s="32" t="s">
        <v>10</v>
      </c>
      <c r="B28" s="29">
        <v>470</v>
      </c>
      <c r="C28" s="34">
        <f t="shared" si="0"/>
        <v>0.78333333333333333</v>
      </c>
    </row>
    <row r="29" spans="1:4" x14ac:dyDescent="0.2">
      <c r="A29" s="32" t="s">
        <v>12</v>
      </c>
      <c r="B29" s="35">
        <v>462</v>
      </c>
      <c r="C29" s="34">
        <f t="shared" si="0"/>
        <v>0.77</v>
      </c>
    </row>
    <row r="64" spans="1:2" x14ac:dyDescent="0.2">
      <c r="A64" s="352" t="s">
        <v>11</v>
      </c>
      <c r="B64" s="352"/>
    </row>
    <row r="65" spans="1:17" x14ac:dyDescent="0.2">
      <c r="A65" s="28" t="s">
        <v>80</v>
      </c>
      <c r="B65" s="36">
        <v>89339</v>
      </c>
    </row>
    <row r="66" spans="1:17" x14ac:dyDescent="0.2">
      <c r="A66" s="31" t="s">
        <v>83</v>
      </c>
      <c r="B66" s="36">
        <v>94509</v>
      </c>
    </row>
    <row r="67" spans="1:17" x14ac:dyDescent="0.2">
      <c r="A67" s="31" t="s">
        <v>84</v>
      </c>
      <c r="B67" s="36">
        <v>99518</v>
      </c>
    </row>
    <row r="68" spans="1:17" x14ac:dyDescent="0.2">
      <c r="A68" s="28" t="s">
        <v>32</v>
      </c>
      <c r="B68" s="36">
        <v>105241</v>
      </c>
    </row>
    <row r="69" spans="1:17" x14ac:dyDescent="0.2">
      <c r="A69" s="31" t="s">
        <v>4</v>
      </c>
      <c r="B69" s="36">
        <v>105423</v>
      </c>
    </row>
    <row r="70" spans="1:17" x14ac:dyDescent="0.2">
      <c r="A70" s="31" t="s">
        <v>5</v>
      </c>
      <c r="B70" s="36">
        <v>93997</v>
      </c>
    </row>
    <row r="71" spans="1:17" x14ac:dyDescent="0.2">
      <c r="A71" s="32" t="s">
        <v>6</v>
      </c>
      <c r="B71" s="36">
        <v>113369</v>
      </c>
    </row>
    <row r="72" spans="1:17" x14ac:dyDescent="0.2">
      <c r="A72" s="32" t="s">
        <v>7</v>
      </c>
      <c r="B72" s="36">
        <v>81868</v>
      </c>
    </row>
    <row r="73" spans="1:17" x14ac:dyDescent="0.2">
      <c r="A73" s="32" t="s">
        <v>8</v>
      </c>
      <c r="B73" s="36">
        <v>110915</v>
      </c>
    </row>
    <row r="74" spans="1:17" x14ac:dyDescent="0.2">
      <c r="A74" s="32" t="s">
        <v>9</v>
      </c>
      <c r="B74" s="36">
        <v>124159</v>
      </c>
    </row>
    <row r="75" spans="1:17" x14ac:dyDescent="0.2">
      <c r="A75" s="32" t="s">
        <v>10</v>
      </c>
      <c r="B75" s="36">
        <v>123751</v>
      </c>
    </row>
    <row r="76" spans="1:17" x14ac:dyDescent="0.2">
      <c r="A76" s="32" t="s">
        <v>12</v>
      </c>
      <c r="B76" s="37">
        <v>114550</v>
      </c>
    </row>
    <row r="77" spans="1:17" x14ac:dyDescent="0.2">
      <c r="A77" s="88" t="s">
        <v>137</v>
      </c>
      <c r="B77" s="89">
        <f>SUM(B65:B76)</f>
        <v>1256639</v>
      </c>
      <c r="Q77" s="38"/>
    </row>
    <row r="78" spans="1:17" x14ac:dyDescent="0.2">
      <c r="A78" s="27" t="s">
        <v>93</v>
      </c>
      <c r="B78" s="54">
        <f>AVERAGE(B65:B76)</f>
        <v>104719.91666666667</v>
      </c>
    </row>
    <row r="88" spans="1:4" x14ac:dyDescent="0.2">
      <c r="A88" s="309" t="s">
        <v>61</v>
      </c>
      <c r="B88" s="309"/>
      <c r="C88" s="309"/>
      <c r="D88" s="309"/>
    </row>
    <row r="89" spans="1:4" x14ac:dyDescent="0.2">
      <c r="A89" s="68"/>
      <c r="B89" s="68" t="s">
        <v>0</v>
      </c>
      <c r="C89" s="68" t="s">
        <v>1</v>
      </c>
      <c r="D89" s="67" t="s">
        <v>63</v>
      </c>
    </row>
    <row r="90" spans="1:4" x14ac:dyDescent="0.2">
      <c r="A90" s="28" t="s">
        <v>80</v>
      </c>
      <c r="B90" s="31">
        <v>22017</v>
      </c>
      <c r="C90" s="31">
        <v>16174</v>
      </c>
      <c r="D90" s="31">
        <f>91+942+14652</f>
        <v>15685</v>
      </c>
    </row>
    <row r="91" spans="1:4" x14ac:dyDescent="0.2">
      <c r="A91" s="31" t="s">
        <v>83</v>
      </c>
      <c r="B91" s="31">
        <v>27526</v>
      </c>
      <c r="C91" s="31">
        <v>14762</v>
      </c>
      <c r="D91" s="31">
        <f>14943+1021+206</f>
        <v>16170</v>
      </c>
    </row>
    <row r="92" spans="1:4" x14ac:dyDescent="0.2">
      <c r="A92" s="31" t="s">
        <v>84</v>
      </c>
      <c r="B92" s="31">
        <v>30311</v>
      </c>
      <c r="C92" s="31">
        <v>17195</v>
      </c>
      <c r="D92" s="31">
        <f>371+985+13778</f>
        <v>15134</v>
      </c>
    </row>
    <row r="93" spans="1:4" x14ac:dyDescent="0.2">
      <c r="A93" s="28" t="s">
        <v>32</v>
      </c>
      <c r="B93" s="31">
        <v>32873</v>
      </c>
      <c r="C93" s="31">
        <v>17404</v>
      </c>
      <c r="D93" s="31">
        <f>290+1080+15057</f>
        <v>16427</v>
      </c>
    </row>
    <row r="94" spans="1:4" x14ac:dyDescent="0.2">
      <c r="A94" s="31" t="s">
        <v>4</v>
      </c>
      <c r="B94" s="31">
        <v>34132</v>
      </c>
      <c r="C94" s="31">
        <v>16352</v>
      </c>
      <c r="D94" s="31">
        <f>14839+1109+298</f>
        <v>16246</v>
      </c>
    </row>
    <row r="95" spans="1:4" x14ac:dyDescent="0.2">
      <c r="A95" s="31" t="s">
        <v>5</v>
      </c>
      <c r="B95" s="31">
        <v>28515</v>
      </c>
      <c r="C95" s="31">
        <v>16912</v>
      </c>
      <c r="D95" s="31">
        <f>360+1050+13819</f>
        <v>15229</v>
      </c>
    </row>
    <row r="96" spans="1:4" x14ac:dyDescent="0.2">
      <c r="A96" s="32" t="s">
        <v>6</v>
      </c>
      <c r="B96" s="31">
        <v>32418</v>
      </c>
      <c r="C96" s="31">
        <v>17864</v>
      </c>
      <c r="D96" s="31">
        <f>393+1024+16823</f>
        <v>18240</v>
      </c>
    </row>
    <row r="97" spans="1:4" x14ac:dyDescent="0.2">
      <c r="A97" s="32" t="s">
        <v>7</v>
      </c>
      <c r="B97" s="31">
        <v>21704</v>
      </c>
      <c r="C97" s="31">
        <v>15495</v>
      </c>
      <c r="D97" s="31">
        <f>288+898+12012</f>
        <v>13198</v>
      </c>
    </row>
    <row r="98" spans="1:4" x14ac:dyDescent="0.2">
      <c r="A98" s="32" t="s">
        <v>8</v>
      </c>
      <c r="B98" s="31">
        <v>33844</v>
      </c>
      <c r="C98" s="31">
        <v>18172</v>
      </c>
      <c r="D98" s="31">
        <f>368+968+18021</f>
        <v>19357</v>
      </c>
    </row>
    <row r="99" spans="1:4" x14ac:dyDescent="0.2">
      <c r="A99" s="32" t="s">
        <v>9</v>
      </c>
      <c r="B99" s="31">
        <v>35226</v>
      </c>
      <c r="C99" s="31">
        <v>21903</v>
      </c>
      <c r="D99" s="31">
        <f>616+1009+20179</f>
        <v>21804</v>
      </c>
    </row>
    <row r="100" spans="1:4" x14ac:dyDescent="0.2">
      <c r="A100" s="32" t="s">
        <v>10</v>
      </c>
      <c r="B100" s="31">
        <v>36322</v>
      </c>
      <c r="C100" s="31">
        <v>20790</v>
      </c>
      <c r="D100" s="31">
        <f>317+805+20248</f>
        <v>21370</v>
      </c>
    </row>
    <row r="101" spans="1:4" x14ac:dyDescent="0.2">
      <c r="A101" s="32" t="s">
        <v>12</v>
      </c>
      <c r="B101" s="41">
        <v>30765</v>
      </c>
      <c r="C101" s="41">
        <v>18269</v>
      </c>
      <c r="D101" s="41">
        <f>265+923+16599</f>
        <v>17787</v>
      </c>
    </row>
    <row r="102" spans="1:4" x14ac:dyDescent="0.2">
      <c r="A102" s="42"/>
      <c r="B102" s="43">
        <f>SUM(B90:B101)</f>
        <v>365653</v>
      </c>
      <c r="C102" s="43">
        <f>SUM(C90:C101)</f>
        <v>211292</v>
      </c>
      <c r="D102" s="43">
        <f t="shared" ref="D102" si="1">SUM(D90:D101)</f>
        <v>206647</v>
      </c>
    </row>
    <row r="140" spans="1:7" x14ac:dyDescent="0.2">
      <c r="E140" s="44"/>
    </row>
    <row r="141" spans="1:7" x14ac:dyDescent="0.2">
      <c r="A141" s="359" t="s">
        <v>37</v>
      </c>
      <c r="B141" s="341"/>
      <c r="C141" s="341"/>
      <c r="D141" s="341"/>
      <c r="E141" s="341"/>
      <c r="F141" s="341"/>
      <c r="G141" s="341"/>
    </row>
    <row r="142" spans="1:7" x14ac:dyDescent="0.2">
      <c r="A142" s="32" t="s">
        <v>0</v>
      </c>
      <c r="B142" s="343" t="s">
        <v>38</v>
      </c>
      <c r="C142" s="344"/>
      <c r="D142" s="344"/>
      <c r="E142" s="345"/>
      <c r="F142" s="31">
        <v>365653</v>
      </c>
      <c r="G142" s="45">
        <f>F142/F154</f>
        <v>0.29097696315330018</v>
      </c>
    </row>
    <row r="143" spans="1:7" x14ac:dyDescent="0.2">
      <c r="A143" s="32" t="s">
        <v>39</v>
      </c>
      <c r="B143" s="343" t="s">
        <v>40</v>
      </c>
      <c r="C143" s="344"/>
      <c r="D143" s="344"/>
      <c r="E143" s="345"/>
      <c r="F143" s="31">
        <v>10609</v>
      </c>
      <c r="G143" s="45">
        <f>F143/F154</f>
        <v>8.4423609326146967E-3</v>
      </c>
    </row>
    <row r="144" spans="1:7" x14ac:dyDescent="0.2">
      <c r="A144" s="32" t="s">
        <v>41</v>
      </c>
      <c r="B144" s="343" t="s">
        <v>42</v>
      </c>
      <c r="C144" s="344"/>
      <c r="D144" s="344"/>
      <c r="E144" s="345"/>
      <c r="F144" s="31">
        <v>220011</v>
      </c>
      <c r="G144" s="45">
        <f>F144/F154</f>
        <v>0.17507892083565765</v>
      </c>
    </row>
    <row r="145" spans="1:7" x14ac:dyDescent="0.2">
      <c r="A145" s="32" t="s">
        <v>1</v>
      </c>
      <c r="B145" s="343" t="s">
        <v>43</v>
      </c>
      <c r="C145" s="344"/>
      <c r="D145" s="344"/>
      <c r="E145" s="345"/>
      <c r="F145" s="31">
        <v>211292</v>
      </c>
      <c r="G145" s="45">
        <f>F145/F154</f>
        <v>0.16814057179508196</v>
      </c>
    </row>
    <row r="146" spans="1:7" x14ac:dyDescent="0.2">
      <c r="A146" s="32" t="s">
        <v>44</v>
      </c>
      <c r="B146" s="343" t="s">
        <v>45</v>
      </c>
      <c r="C146" s="344"/>
      <c r="D146" s="344"/>
      <c r="E146" s="345"/>
      <c r="F146" s="31">
        <v>214944</v>
      </c>
      <c r="G146" s="45">
        <f>F146/F154</f>
        <v>0.17104673657271499</v>
      </c>
    </row>
    <row r="147" spans="1:7" x14ac:dyDescent="0.2">
      <c r="A147" s="32" t="s">
        <v>46</v>
      </c>
      <c r="B147" s="343" t="s">
        <v>47</v>
      </c>
      <c r="C147" s="344"/>
      <c r="D147" s="344"/>
      <c r="E147" s="345"/>
      <c r="F147" s="31">
        <v>3863</v>
      </c>
      <c r="G147" s="45">
        <f>F147/F154</f>
        <v>3.0740729835696647E-3</v>
      </c>
    </row>
    <row r="148" spans="1:7" x14ac:dyDescent="0.2">
      <c r="A148" s="32" t="s">
        <v>48</v>
      </c>
      <c r="B148" s="343" t="s">
        <v>49</v>
      </c>
      <c r="C148" s="344"/>
      <c r="D148" s="344"/>
      <c r="E148" s="345"/>
      <c r="F148" s="31">
        <v>11814</v>
      </c>
      <c r="G148" s="45">
        <f>F148/F154</f>
        <v>9.4012679854755428E-3</v>
      </c>
    </row>
    <row r="149" spans="1:7" x14ac:dyDescent="0.2">
      <c r="A149" s="32" t="s">
        <v>50</v>
      </c>
      <c r="B149" s="343" t="s">
        <v>51</v>
      </c>
      <c r="C149" s="344"/>
      <c r="D149" s="344"/>
      <c r="E149" s="345"/>
      <c r="F149" s="31">
        <v>190970</v>
      </c>
      <c r="G149" s="45">
        <f>F149/F154</f>
        <v>0.15196886297496737</v>
      </c>
    </row>
    <row r="150" spans="1:7" x14ac:dyDescent="0.2">
      <c r="A150" s="32" t="s">
        <v>52</v>
      </c>
      <c r="B150" s="343" t="s">
        <v>53</v>
      </c>
      <c r="C150" s="344"/>
      <c r="D150" s="344"/>
      <c r="E150" s="345"/>
      <c r="F150" s="31">
        <v>10662</v>
      </c>
      <c r="G150" s="45">
        <f>F150/F154</f>
        <v>8.4845369274708163E-3</v>
      </c>
    </row>
    <row r="151" spans="1:7" x14ac:dyDescent="0.2">
      <c r="A151" s="32" t="s">
        <v>54</v>
      </c>
      <c r="B151" s="343" t="s">
        <v>55</v>
      </c>
      <c r="C151" s="344"/>
      <c r="D151" s="344"/>
      <c r="E151" s="345"/>
      <c r="F151" s="31">
        <v>2522</v>
      </c>
      <c r="G151" s="45">
        <f>F151/F154</f>
        <v>2.0069407363610394E-3</v>
      </c>
    </row>
    <row r="152" spans="1:7" x14ac:dyDescent="0.2">
      <c r="A152" s="32" t="s">
        <v>56</v>
      </c>
      <c r="B152" s="346" t="s">
        <v>62</v>
      </c>
      <c r="C152" s="344"/>
      <c r="D152" s="344"/>
      <c r="E152" s="345"/>
      <c r="F152" s="31">
        <v>5563</v>
      </c>
      <c r="G152" s="45">
        <f>F152/F154</f>
        <v>4.4268879129169157E-3</v>
      </c>
    </row>
    <row r="153" spans="1:7" x14ac:dyDescent="0.2">
      <c r="A153" s="32" t="s">
        <v>57</v>
      </c>
      <c r="B153" s="343" t="s">
        <v>58</v>
      </c>
      <c r="C153" s="344"/>
      <c r="D153" s="344"/>
      <c r="E153" s="345"/>
      <c r="F153" s="31">
        <v>8736</v>
      </c>
      <c r="G153" s="45">
        <f>F153/F154</f>
        <v>6.9518771898691668E-3</v>
      </c>
    </row>
    <row r="154" spans="1:7" x14ac:dyDescent="0.2">
      <c r="A154" s="348"/>
      <c r="B154" s="349"/>
      <c r="C154" s="349"/>
      <c r="D154" s="349"/>
      <c r="E154" s="350"/>
      <c r="F154" s="43">
        <f>SUM(F142:F153)</f>
        <v>1256639</v>
      </c>
      <c r="G154" s="42"/>
    </row>
    <row r="164" spans="1:6" x14ac:dyDescent="0.2">
      <c r="A164" s="341" t="s">
        <v>69</v>
      </c>
      <c r="B164" s="341"/>
      <c r="C164" s="341"/>
      <c r="D164" s="341"/>
      <c r="E164" s="341"/>
      <c r="F164" s="38" t="s">
        <v>177</v>
      </c>
    </row>
    <row r="165" spans="1:6" x14ac:dyDescent="0.2">
      <c r="A165" s="358" t="s">
        <v>70</v>
      </c>
      <c r="B165" s="358"/>
      <c r="C165" s="358"/>
      <c r="D165" s="31">
        <v>278623</v>
      </c>
      <c r="E165" s="45">
        <f>D165/D167</f>
        <v>0.76214586803874418</v>
      </c>
    </row>
    <row r="166" spans="1:6" x14ac:dyDescent="0.2">
      <c r="A166" s="358" t="s">
        <v>71</v>
      </c>
      <c r="B166" s="358"/>
      <c r="C166" s="358"/>
      <c r="D166" s="31">
        <v>86954</v>
      </c>
      <c r="E166" s="45">
        <f>D166/D167</f>
        <v>0.23785413196125577</v>
      </c>
    </row>
    <row r="167" spans="1:6" x14ac:dyDescent="0.2">
      <c r="A167" s="342"/>
      <c r="B167" s="342"/>
      <c r="C167" s="342"/>
      <c r="D167" s="43">
        <f>SUM(D165:D166)</f>
        <v>365577</v>
      </c>
      <c r="E167" s="42"/>
      <c r="F167" s="54">
        <f>D167-F142</f>
        <v>-76</v>
      </c>
    </row>
    <row r="169" spans="1:6" x14ac:dyDescent="0.2">
      <c r="A169" s="341" t="s">
        <v>72</v>
      </c>
      <c r="B169" s="341"/>
      <c r="C169" s="341"/>
      <c r="D169" s="341"/>
      <c r="E169" s="341"/>
      <c r="F169" s="38" t="s">
        <v>177</v>
      </c>
    </row>
    <row r="170" spans="1:6" x14ac:dyDescent="0.2">
      <c r="A170" s="361" t="s">
        <v>73</v>
      </c>
      <c r="B170" s="362"/>
      <c r="C170" s="363"/>
      <c r="D170" s="46">
        <v>171286</v>
      </c>
      <c r="E170" s="47">
        <f>D170/D172</f>
        <v>0.81113615699348385</v>
      </c>
    </row>
    <row r="171" spans="1:6" x14ac:dyDescent="0.2">
      <c r="A171" s="361" t="s">
        <v>74</v>
      </c>
      <c r="B171" s="362"/>
      <c r="C171" s="363"/>
      <c r="D171" s="46">
        <v>39882</v>
      </c>
      <c r="E171" s="47">
        <f>D171/D172</f>
        <v>0.18886384300651615</v>
      </c>
    </row>
    <row r="172" spans="1:6" x14ac:dyDescent="0.2">
      <c r="A172" s="342"/>
      <c r="B172" s="342"/>
      <c r="C172" s="342"/>
      <c r="D172" s="48">
        <f>SUM(D170:D171)</f>
        <v>211168</v>
      </c>
      <c r="E172" s="42"/>
      <c r="F172" s="54">
        <f>D172-F145</f>
        <v>-124</v>
      </c>
    </row>
    <row r="176" spans="1:6" x14ac:dyDescent="0.2">
      <c r="A176" s="341" t="s">
        <v>75</v>
      </c>
      <c r="B176" s="341"/>
      <c r="C176" s="341"/>
      <c r="D176" s="341"/>
      <c r="E176" s="341"/>
    </row>
    <row r="177" spans="1:6" x14ac:dyDescent="0.2">
      <c r="A177" s="361" t="s">
        <v>65</v>
      </c>
      <c r="B177" s="362"/>
      <c r="C177" s="363"/>
      <c r="D177" s="59">
        <f>D172-D178-D179</f>
        <v>187888</v>
      </c>
      <c r="E177" s="47">
        <f>D177/D180</f>
        <v>0.88975602363994544</v>
      </c>
    </row>
    <row r="178" spans="1:6" x14ac:dyDescent="0.2">
      <c r="A178" s="361" t="s">
        <v>76</v>
      </c>
      <c r="B178" s="362"/>
      <c r="C178" s="363"/>
      <c r="D178" s="59">
        <v>23234</v>
      </c>
      <c r="E178" s="47">
        <f>D178/D180</f>
        <v>0.11002614032429156</v>
      </c>
    </row>
    <row r="179" spans="1:6" x14ac:dyDescent="0.2">
      <c r="A179" s="361" t="s">
        <v>64</v>
      </c>
      <c r="B179" s="362"/>
      <c r="C179" s="363"/>
      <c r="D179" s="59">
        <v>46</v>
      </c>
      <c r="E179" s="47">
        <f>D179/D180</f>
        <v>2.1783603576299441E-4</v>
      </c>
    </row>
    <row r="180" spans="1:6" x14ac:dyDescent="0.2">
      <c r="A180" s="342"/>
      <c r="B180" s="342"/>
      <c r="C180" s="342"/>
      <c r="D180" s="48">
        <f>SUM(D177:D179)</f>
        <v>211168</v>
      </c>
      <c r="E180" s="42"/>
    </row>
    <row r="183" spans="1:6" x14ac:dyDescent="0.2">
      <c r="A183" s="341" t="s">
        <v>176</v>
      </c>
      <c r="B183" s="341"/>
      <c r="C183" s="341"/>
      <c r="D183" s="341"/>
      <c r="E183" s="341"/>
    </row>
    <row r="184" spans="1:6" x14ac:dyDescent="0.2">
      <c r="A184" s="361" t="s">
        <v>65</v>
      </c>
      <c r="B184" s="362"/>
      <c r="C184" s="363"/>
      <c r="D184" s="59">
        <f>F149-D185-D186</f>
        <v>170367</v>
      </c>
      <c r="E184" s="47">
        <f>D184/D187</f>
        <v>0.89211394459862803</v>
      </c>
    </row>
    <row r="185" spans="1:6" x14ac:dyDescent="0.2">
      <c r="A185" s="361" t="s">
        <v>76</v>
      </c>
      <c r="B185" s="362"/>
      <c r="C185" s="363"/>
      <c r="D185" s="59">
        <v>20021</v>
      </c>
      <c r="E185" s="47">
        <f>D185/D187</f>
        <v>0.10483845630203698</v>
      </c>
    </row>
    <row r="186" spans="1:6" x14ac:dyDescent="0.2">
      <c r="A186" s="361" t="s">
        <v>64</v>
      </c>
      <c r="B186" s="362"/>
      <c r="C186" s="363"/>
      <c r="D186" s="59">
        <v>582</v>
      </c>
      <c r="E186" s="47">
        <f>D186/D187</f>
        <v>3.0475990993349741E-3</v>
      </c>
    </row>
    <row r="187" spans="1:6" x14ac:dyDescent="0.2">
      <c r="A187" s="342"/>
      <c r="B187" s="342"/>
      <c r="C187" s="342"/>
      <c r="D187" s="48">
        <f>SUM(D184:D186)</f>
        <v>190970</v>
      </c>
      <c r="E187" s="42"/>
    </row>
    <row r="190" spans="1:6" x14ac:dyDescent="0.2">
      <c r="A190" s="357" t="s">
        <v>34</v>
      </c>
      <c r="B190" s="357"/>
      <c r="C190" s="357"/>
      <c r="D190" s="357"/>
      <c r="E190" s="357"/>
      <c r="F190" s="357"/>
    </row>
    <row r="191" spans="1:6" ht="13.5" customHeight="1" x14ac:dyDescent="0.2">
      <c r="A191" s="355" t="s">
        <v>87</v>
      </c>
      <c r="B191" s="355"/>
      <c r="C191" s="355"/>
      <c r="D191" s="355"/>
      <c r="E191" s="56">
        <v>3</v>
      </c>
      <c r="F191" s="45">
        <f>E191/E$196</f>
        <v>1.4634074955731923E-5</v>
      </c>
    </row>
    <row r="192" spans="1:6" ht="12.75" customHeight="1" x14ac:dyDescent="0.2">
      <c r="A192" s="355" t="s">
        <v>88</v>
      </c>
      <c r="B192" s="355"/>
      <c r="C192" s="355"/>
      <c r="D192" s="355"/>
      <c r="E192" s="56">
        <v>2829</v>
      </c>
      <c r="F192" s="45">
        <f t="shared" ref="F192:F195" si="2">E192/E$196</f>
        <v>1.3799932683255203E-2</v>
      </c>
    </row>
    <row r="193" spans="1:7" ht="12.75" customHeight="1" x14ac:dyDescent="0.2">
      <c r="A193" s="355" t="s">
        <v>89</v>
      </c>
      <c r="B193" s="355"/>
      <c r="C193" s="355"/>
      <c r="D193" s="355"/>
      <c r="E193" s="56">
        <v>375</v>
      </c>
      <c r="F193" s="45">
        <f t="shared" si="2"/>
        <v>1.8292593694664904E-3</v>
      </c>
    </row>
    <row r="194" spans="1:7" ht="12.75" customHeight="1" x14ac:dyDescent="0.2">
      <c r="A194" s="355" t="s">
        <v>90</v>
      </c>
      <c r="B194" s="355"/>
      <c r="C194" s="355"/>
      <c r="D194" s="355"/>
      <c r="E194" s="56">
        <v>6363</v>
      </c>
      <c r="F194" s="45">
        <f t="shared" si="2"/>
        <v>3.1038872981107409E-2</v>
      </c>
    </row>
    <row r="195" spans="1:7" ht="13.5" customHeight="1" x14ac:dyDescent="0.2">
      <c r="A195" s="355" t="s">
        <v>86</v>
      </c>
      <c r="B195" s="355"/>
      <c r="C195" s="355"/>
      <c r="D195" s="355"/>
      <c r="E195" s="56">
        <v>195431</v>
      </c>
      <c r="F195" s="45">
        <f t="shared" si="2"/>
        <v>0.95331730089121514</v>
      </c>
    </row>
    <row r="196" spans="1:7" x14ac:dyDescent="0.2">
      <c r="A196" s="367" t="s">
        <v>91</v>
      </c>
      <c r="B196" s="367"/>
      <c r="C196" s="367"/>
      <c r="D196" s="367"/>
      <c r="E196" s="57">
        <f>SUM(E191:E195)</f>
        <v>205001</v>
      </c>
      <c r="F196" s="55"/>
    </row>
    <row r="199" spans="1:7" x14ac:dyDescent="0.2">
      <c r="A199" s="357" t="s">
        <v>35</v>
      </c>
      <c r="B199" s="357"/>
      <c r="C199" s="357"/>
      <c r="D199" s="357"/>
      <c r="E199" s="357"/>
      <c r="F199" s="357"/>
      <c r="G199" s="357"/>
    </row>
    <row r="200" spans="1:7" x14ac:dyDescent="0.2">
      <c r="A200" s="360" t="s">
        <v>78</v>
      </c>
      <c r="B200" s="360"/>
      <c r="C200" s="360"/>
      <c r="D200" s="360"/>
      <c r="E200" s="360"/>
      <c r="F200" s="32">
        <v>127513</v>
      </c>
      <c r="G200" s="45">
        <f>F200/F$207</f>
        <v>0.61873083343037927</v>
      </c>
    </row>
    <row r="201" spans="1:7" x14ac:dyDescent="0.2">
      <c r="A201" s="360" t="s">
        <v>79</v>
      </c>
      <c r="B201" s="360"/>
      <c r="C201" s="360"/>
      <c r="D201" s="360"/>
      <c r="E201" s="360"/>
      <c r="F201" s="32">
        <v>63498</v>
      </c>
      <c r="G201" s="45">
        <f t="shared" ref="G201:G206" si="3">F201/F$207</f>
        <v>0.30811109817165483</v>
      </c>
    </row>
    <row r="202" spans="1:7" x14ac:dyDescent="0.2">
      <c r="A202" s="360" t="s">
        <v>60</v>
      </c>
      <c r="B202" s="360"/>
      <c r="C202" s="360"/>
      <c r="D202" s="360"/>
      <c r="E202" s="360"/>
      <c r="F202" s="31">
        <v>3863</v>
      </c>
      <c r="G202" s="45">
        <f t="shared" si="3"/>
        <v>1.8744419859477505E-2</v>
      </c>
    </row>
    <row r="203" spans="1:7" ht="15" x14ac:dyDescent="0.25">
      <c r="A203" s="360" t="s">
        <v>88</v>
      </c>
      <c r="B203" s="360"/>
      <c r="C203" s="360"/>
      <c r="D203" s="360"/>
      <c r="E203" s="360"/>
      <c r="F203" s="58">
        <v>6303</v>
      </c>
      <c r="G203" s="45">
        <f t="shared" si="3"/>
        <v>3.0584022359380458E-2</v>
      </c>
    </row>
    <row r="204" spans="1:7" ht="15" x14ac:dyDescent="0.25">
      <c r="A204" s="356" t="s">
        <v>89</v>
      </c>
      <c r="B204" s="356"/>
      <c r="C204" s="356"/>
      <c r="D204" s="356"/>
      <c r="E204" s="356"/>
      <c r="F204" s="58">
        <v>84</v>
      </c>
      <c r="G204" s="45">
        <f t="shared" si="3"/>
        <v>4.0759287294747876E-4</v>
      </c>
    </row>
    <row r="205" spans="1:7" ht="15" x14ac:dyDescent="0.25">
      <c r="A205" s="366" t="s">
        <v>92</v>
      </c>
      <c r="B205" s="366"/>
      <c r="C205" s="366"/>
      <c r="D205" s="366"/>
      <c r="E205" s="366"/>
      <c r="F205" s="58">
        <v>4804</v>
      </c>
      <c r="G205" s="45">
        <f t="shared" si="3"/>
        <v>2.331043049571057E-2</v>
      </c>
    </row>
    <row r="206" spans="1:7" ht="15" x14ac:dyDescent="0.25">
      <c r="A206" s="346" t="s">
        <v>94</v>
      </c>
      <c r="B206" s="364"/>
      <c r="C206" s="364"/>
      <c r="D206" s="364"/>
      <c r="E206" s="365"/>
      <c r="F206" s="58">
        <v>23</v>
      </c>
      <c r="G206" s="45">
        <f t="shared" si="3"/>
        <v>1.1160281044990489E-4</v>
      </c>
    </row>
    <row r="207" spans="1:7" x14ac:dyDescent="0.2">
      <c r="A207" s="369"/>
      <c r="B207" s="369"/>
      <c r="C207" s="369"/>
      <c r="D207" s="369"/>
      <c r="E207" s="369"/>
      <c r="F207" s="57">
        <f>SUM(F200:F206)</f>
        <v>206088</v>
      </c>
      <c r="G207" s="55"/>
    </row>
    <row r="211" spans="1:4" x14ac:dyDescent="0.2">
      <c r="A211" s="308" t="s">
        <v>166</v>
      </c>
      <c r="B211" s="309"/>
      <c r="C211" s="309"/>
      <c r="D211" s="309"/>
    </row>
    <row r="212" spans="1:4" ht="15" x14ac:dyDescent="0.25">
      <c r="A212" s="66"/>
      <c r="B212" s="206" t="s">
        <v>99</v>
      </c>
      <c r="C212" s="207" t="s">
        <v>100</v>
      </c>
      <c r="D212" s="208" t="s">
        <v>101</v>
      </c>
    </row>
    <row r="213" spans="1:4" ht="15" x14ac:dyDescent="0.25">
      <c r="A213" s="230" t="s">
        <v>14</v>
      </c>
      <c r="B213" s="231">
        <v>24</v>
      </c>
      <c r="C213" s="232">
        <f t="shared" ref="C213:C238" si="4">B213/C$240</f>
        <v>1</v>
      </c>
      <c r="D213" s="233">
        <f t="shared" ref="D213:D238" si="5">B213/27</f>
        <v>0.88888888888888884</v>
      </c>
    </row>
    <row r="214" spans="1:4" x14ac:dyDescent="0.2">
      <c r="A214" s="32" t="s">
        <v>15</v>
      </c>
      <c r="B214" s="36">
        <v>22</v>
      </c>
      <c r="C214" s="45">
        <f t="shared" si="4"/>
        <v>0.91666666666666663</v>
      </c>
      <c r="D214" s="45">
        <f t="shared" si="5"/>
        <v>0.81481481481481477</v>
      </c>
    </row>
    <row r="215" spans="1:4" x14ac:dyDescent="0.2">
      <c r="A215" s="32" t="s">
        <v>16</v>
      </c>
      <c r="B215" s="36">
        <v>20</v>
      </c>
      <c r="C215" s="45">
        <f t="shared" si="4"/>
        <v>0.83333333333333337</v>
      </c>
      <c r="D215" s="45">
        <f t="shared" si="5"/>
        <v>0.7407407407407407</v>
      </c>
    </row>
    <row r="216" spans="1:4" x14ac:dyDescent="0.2">
      <c r="A216" s="32" t="s">
        <v>85</v>
      </c>
      <c r="B216" s="36">
        <v>17</v>
      </c>
      <c r="C216" s="45">
        <f t="shared" si="4"/>
        <v>0.70833333333333337</v>
      </c>
      <c r="D216" s="45">
        <f t="shared" si="5"/>
        <v>0.62962962962962965</v>
      </c>
    </row>
    <row r="217" spans="1:4" x14ac:dyDescent="0.2">
      <c r="A217" s="32" t="s">
        <v>17</v>
      </c>
      <c r="B217" s="36">
        <v>22</v>
      </c>
      <c r="C217" s="45">
        <f t="shared" si="4"/>
        <v>0.91666666666666663</v>
      </c>
      <c r="D217" s="45">
        <f t="shared" si="5"/>
        <v>0.81481481481481477</v>
      </c>
    </row>
    <row r="218" spans="1:4" x14ac:dyDescent="0.2">
      <c r="A218" s="32" t="s">
        <v>18</v>
      </c>
      <c r="B218" s="36">
        <v>22</v>
      </c>
      <c r="C218" s="45">
        <f t="shared" si="4"/>
        <v>0.91666666666666663</v>
      </c>
      <c r="D218" s="45">
        <f t="shared" si="5"/>
        <v>0.81481481481481477</v>
      </c>
    </row>
    <row r="219" spans="1:4" x14ac:dyDescent="0.2">
      <c r="A219" s="32" t="s">
        <v>19</v>
      </c>
      <c r="B219" s="36">
        <v>23</v>
      </c>
      <c r="C219" s="45">
        <f t="shared" si="4"/>
        <v>0.95833333333333337</v>
      </c>
      <c r="D219" s="45">
        <f t="shared" si="5"/>
        <v>0.85185185185185186</v>
      </c>
    </row>
    <row r="220" spans="1:4" x14ac:dyDescent="0.2">
      <c r="A220" s="32" t="s">
        <v>20</v>
      </c>
      <c r="B220" s="36">
        <v>19</v>
      </c>
      <c r="C220" s="45">
        <f t="shared" si="4"/>
        <v>0.79166666666666663</v>
      </c>
      <c r="D220" s="45">
        <f t="shared" si="5"/>
        <v>0.70370370370370372</v>
      </c>
    </row>
    <row r="221" spans="1:4" ht="15" x14ac:dyDescent="0.25">
      <c r="A221" s="230" t="s">
        <v>21</v>
      </c>
      <c r="B221" s="234">
        <v>24</v>
      </c>
      <c r="C221" s="235">
        <f t="shared" si="4"/>
        <v>1</v>
      </c>
      <c r="D221" s="235">
        <f t="shared" si="5"/>
        <v>0.88888888888888884</v>
      </c>
    </row>
    <row r="222" spans="1:4" x14ac:dyDescent="0.2">
      <c r="A222" s="32" t="s">
        <v>22</v>
      </c>
      <c r="B222" s="36">
        <v>21</v>
      </c>
      <c r="C222" s="45">
        <f t="shared" si="4"/>
        <v>0.875</v>
      </c>
      <c r="D222" s="45">
        <f t="shared" si="5"/>
        <v>0.77777777777777779</v>
      </c>
    </row>
    <row r="223" spans="1:4" ht="15" x14ac:dyDescent="0.25">
      <c r="A223" s="230" t="s">
        <v>23</v>
      </c>
      <c r="B223" s="234">
        <v>24</v>
      </c>
      <c r="C223" s="235">
        <f t="shared" si="4"/>
        <v>1</v>
      </c>
      <c r="D223" s="235">
        <f t="shared" si="5"/>
        <v>0.88888888888888884</v>
      </c>
    </row>
    <row r="224" spans="1:4" x14ac:dyDescent="0.2">
      <c r="A224" s="32" t="s">
        <v>24</v>
      </c>
      <c r="B224" s="36">
        <v>19</v>
      </c>
      <c r="C224" s="45">
        <f t="shared" si="4"/>
        <v>0.79166666666666663</v>
      </c>
      <c r="D224" s="45">
        <f t="shared" si="5"/>
        <v>0.70370370370370372</v>
      </c>
    </row>
    <row r="225" spans="1:4" x14ac:dyDescent="0.2">
      <c r="A225" s="32" t="s">
        <v>25</v>
      </c>
      <c r="B225" s="36">
        <v>13</v>
      </c>
      <c r="C225" s="45">
        <f t="shared" si="4"/>
        <v>0.54166666666666663</v>
      </c>
      <c r="D225" s="45">
        <f t="shared" si="5"/>
        <v>0.48148148148148145</v>
      </c>
    </row>
    <row r="226" spans="1:4" x14ac:dyDescent="0.2">
      <c r="A226" s="32" t="s">
        <v>95</v>
      </c>
      <c r="B226" s="36">
        <v>11</v>
      </c>
      <c r="C226" s="45">
        <f t="shared" si="4"/>
        <v>0.45833333333333331</v>
      </c>
      <c r="D226" s="45">
        <f t="shared" si="5"/>
        <v>0.40740740740740738</v>
      </c>
    </row>
    <row r="227" spans="1:4" x14ac:dyDescent="0.2">
      <c r="A227" s="32" t="s">
        <v>2</v>
      </c>
      <c r="B227" s="36">
        <v>18</v>
      </c>
      <c r="C227" s="45">
        <f t="shared" si="4"/>
        <v>0.75</v>
      </c>
      <c r="D227" s="45">
        <f t="shared" si="5"/>
        <v>0.66666666666666663</v>
      </c>
    </row>
    <row r="228" spans="1:4" x14ac:dyDescent="0.2">
      <c r="A228" s="32" t="s">
        <v>26</v>
      </c>
      <c r="B228" s="36">
        <v>23</v>
      </c>
      <c r="C228" s="45">
        <f t="shared" si="4"/>
        <v>0.95833333333333337</v>
      </c>
      <c r="D228" s="45">
        <f t="shared" si="5"/>
        <v>0.85185185185185186</v>
      </c>
    </row>
    <row r="229" spans="1:4" x14ac:dyDescent="0.2">
      <c r="A229" s="32" t="s">
        <v>82</v>
      </c>
      <c r="B229" s="36">
        <v>20</v>
      </c>
      <c r="C229" s="45">
        <f t="shared" si="4"/>
        <v>0.83333333333333337</v>
      </c>
      <c r="D229" s="45">
        <f t="shared" si="5"/>
        <v>0.7407407407407407</v>
      </c>
    </row>
    <row r="230" spans="1:4" x14ac:dyDescent="0.2">
      <c r="A230" s="32" t="s">
        <v>27</v>
      </c>
      <c r="B230" s="36">
        <v>21</v>
      </c>
      <c r="C230" s="45">
        <f t="shared" si="4"/>
        <v>0.875</v>
      </c>
      <c r="D230" s="45">
        <f t="shared" si="5"/>
        <v>0.77777777777777779</v>
      </c>
    </row>
    <row r="231" spans="1:4" x14ac:dyDescent="0.2">
      <c r="A231" s="32" t="s">
        <v>96</v>
      </c>
      <c r="B231" s="36">
        <v>19</v>
      </c>
      <c r="C231" s="45">
        <f t="shared" si="4"/>
        <v>0.79166666666666663</v>
      </c>
      <c r="D231" s="45">
        <f t="shared" si="5"/>
        <v>0.70370370370370372</v>
      </c>
    </row>
    <row r="232" spans="1:4" x14ac:dyDescent="0.2">
      <c r="A232" s="32" t="s">
        <v>28</v>
      </c>
      <c r="B232" s="36">
        <v>19</v>
      </c>
      <c r="C232" s="45">
        <f t="shared" si="4"/>
        <v>0.79166666666666663</v>
      </c>
      <c r="D232" s="45">
        <f t="shared" si="5"/>
        <v>0.70370370370370372</v>
      </c>
    </row>
    <row r="233" spans="1:4" x14ac:dyDescent="0.2">
      <c r="A233" s="32" t="s">
        <v>29</v>
      </c>
      <c r="B233" s="36">
        <v>23</v>
      </c>
      <c r="C233" s="45">
        <f t="shared" si="4"/>
        <v>0.95833333333333337</v>
      </c>
      <c r="D233" s="45">
        <f t="shared" si="5"/>
        <v>0.85185185185185186</v>
      </c>
    </row>
    <row r="234" spans="1:4" x14ac:dyDescent="0.2">
      <c r="A234" s="32" t="s">
        <v>30</v>
      </c>
      <c r="B234" s="36">
        <v>23</v>
      </c>
      <c r="C234" s="45">
        <f t="shared" si="4"/>
        <v>0.95833333333333337</v>
      </c>
      <c r="D234" s="45">
        <f t="shared" si="5"/>
        <v>0.85185185185185186</v>
      </c>
    </row>
    <row r="235" spans="1:4" x14ac:dyDescent="0.2">
      <c r="A235" s="32" t="s">
        <v>31</v>
      </c>
      <c r="B235" s="36">
        <v>20</v>
      </c>
      <c r="C235" s="45">
        <f t="shared" si="4"/>
        <v>0.83333333333333337</v>
      </c>
      <c r="D235" s="45">
        <f t="shared" si="5"/>
        <v>0.7407407407407407</v>
      </c>
    </row>
    <row r="236" spans="1:4" x14ac:dyDescent="0.2">
      <c r="A236" s="32" t="s">
        <v>98</v>
      </c>
      <c r="B236" s="36">
        <v>23</v>
      </c>
      <c r="C236" s="45">
        <f t="shared" si="4"/>
        <v>0.95833333333333337</v>
      </c>
      <c r="D236" s="45">
        <f t="shared" si="5"/>
        <v>0.85185185185185186</v>
      </c>
    </row>
    <row r="237" spans="1:4" x14ac:dyDescent="0.2">
      <c r="A237" s="227" t="s">
        <v>175</v>
      </c>
      <c r="B237" s="228">
        <v>1</v>
      </c>
      <c r="C237" s="229">
        <f t="shared" si="4"/>
        <v>4.1666666666666664E-2</v>
      </c>
      <c r="D237" s="229">
        <f t="shared" si="5"/>
        <v>3.7037037037037035E-2</v>
      </c>
    </row>
    <row r="238" spans="1:4" x14ac:dyDescent="0.2">
      <c r="A238" s="32" t="s">
        <v>3</v>
      </c>
      <c r="B238" s="36">
        <v>5</v>
      </c>
      <c r="C238" s="45">
        <f t="shared" si="4"/>
        <v>0.20833333333333334</v>
      </c>
      <c r="D238" s="45">
        <f t="shared" si="5"/>
        <v>0.18518518518518517</v>
      </c>
    </row>
    <row r="239" spans="1:4" x14ac:dyDescent="0.2">
      <c r="A239" s="90" t="s">
        <v>137</v>
      </c>
      <c r="B239" s="236">
        <f>SUM(B213:B238)</f>
        <v>496</v>
      </c>
      <c r="C239" s="154">
        <f>B239/(C240*(C240+1))</f>
        <v>0.82666666666666666</v>
      </c>
      <c r="D239" s="237">
        <f>B239/(28*27)</f>
        <v>0.65608465608465605</v>
      </c>
    </row>
    <row r="240" spans="1:4" ht="15" x14ac:dyDescent="0.25">
      <c r="A240" s="27" t="s">
        <v>93</v>
      </c>
      <c r="B240" s="239">
        <f>B239/25</f>
        <v>19.84</v>
      </c>
      <c r="C240" s="238">
        <v>24</v>
      </c>
      <c r="D240" s="201"/>
    </row>
    <row r="241" spans="1:4" x14ac:dyDescent="0.2">
      <c r="C241" s="250"/>
    </row>
    <row r="248" spans="1:4" x14ac:dyDescent="0.2">
      <c r="A248" s="308" t="s">
        <v>36</v>
      </c>
      <c r="B248" s="309"/>
      <c r="C248" s="309"/>
      <c r="D248"/>
    </row>
    <row r="249" spans="1:4" ht="12.75" customHeight="1" x14ac:dyDescent="0.25">
      <c r="A249" s="32" t="s">
        <v>14</v>
      </c>
      <c r="B249" s="214">
        <v>61345</v>
      </c>
      <c r="C249" s="51">
        <f t="shared" ref="C249:C273" si="6">B249/A$275</f>
        <v>4.8816724612239473E-2</v>
      </c>
      <c r="D249"/>
    </row>
    <row r="250" spans="1:4" ht="12.75" customHeight="1" x14ac:dyDescent="0.25">
      <c r="A250" s="32" t="s">
        <v>15</v>
      </c>
      <c r="B250" s="214">
        <v>43945</v>
      </c>
      <c r="C250" s="51">
        <f t="shared" si="6"/>
        <v>3.4970265923626433E-2</v>
      </c>
      <c r="D250"/>
    </row>
    <row r="251" spans="1:4" ht="12.75" customHeight="1" x14ac:dyDescent="0.25">
      <c r="A251" s="32" t="s">
        <v>16</v>
      </c>
      <c r="B251" s="214">
        <v>36441</v>
      </c>
      <c r="C251" s="51">
        <f t="shared" si="6"/>
        <v>2.8998781670790098E-2</v>
      </c>
      <c r="D251"/>
    </row>
    <row r="252" spans="1:4" ht="12.75" customHeight="1" x14ac:dyDescent="0.25">
      <c r="A252" s="32" t="s">
        <v>85</v>
      </c>
      <c r="B252" s="214">
        <v>4783</v>
      </c>
      <c r="C252" s="51">
        <f t="shared" si="6"/>
        <v>3.8061845923928828E-3</v>
      </c>
      <c r="D252"/>
    </row>
    <row r="253" spans="1:4" ht="12.75" customHeight="1" x14ac:dyDescent="0.25">
      <c r="A253" s="32" t="s">
        <v>17</v>
      </c>
      <c r="B253" s="214">
        <v>33050</v>
      </c>
      <c r="C253" s="51">
        <f t="shared" si="6"/>
        <v>2.630031377348626E-2</v>
      </c>
      <c r="D253"/>
    </row>
    <row r="254" spans="1:4" ht="12.75" customHeight="1" x14ac:dyDescent="0.25">
      <c r="A254" s="32" t="s">
        <v>18</v>
      </c>
      <c r="B254" s="214">
        <v>245831</v>
      </c>
      <c r="C254" s="51">
        <f t="shared" si="6"/>
        <v>0.19562579229197885</v>
      </c>
      <c r="D254"/>
    </row>
    <row r="255" spans="1:4" ht="12.75" customHeight="1" x14ac:dyDescent="0.25">
      <c r="A255" s="32" t="s">
        <v>19</v>
      </c>
      <c r="B255" s="214">
        <v>6993</v>
      </c>
      <c r="C255" s="51">
        <f t="shared" si="6"/>
        <v>5.5648440005443087E-3</v>
      </c>
      <c r="D255"/>
    </row>
    <row r="256" spans="1:4" ht="12.75" customHeight="1" x14ac:dyDescent="0.25">
      <c r="A256" s="32" t="s">
        <v>20</v>
      </c>
      <c r="B256" s="214">
        <v>7044</v>
      </c>
      <c r="C256" s="51">
        <f t="shared" si="6"/>
        <v>5.605428448424727E-3</v>
      </c>
      <c r="D256"/>
    </row>
    <row r="257" spans="1:4" ht="12.75" customHeight="1" x14ac:dyDescent="0.25">
      <c r="A257" s="32" t="s">
        <v>21</v>
      </c>
      <c r="B257" s="214">
        <v>57155</v>
      </c>
      <c r="C257" s="51">
        <f t="shared" si="6"/>
        <v>4.5482433698142428E-2</v>
      </c>
      <c r="D257"/>
    </row>
    <row r="258" spans="1:4" ht="12.75" customHeight="1" x14ac:dyDescent="0.25">
      <c r="A258" s="32" t="s">
        <v>22</v>
      </c>
      <c r="B258" s="214">
        <v>8671</v>
      </c>
      <c r="C258" s="51">
        <f t="shared" si="6"/>
        <v>6.9001519131588309E-3</v>
      </c>
      <c r="D258"/>
    </row>
    <row r="259" spans="1:4" ht="12.75" customHeight="1" x14ac:dyDescent="0.25">
      <c r="A259" s="32" t="s">
        <v>23</v>
      </c>
      <c r="B259" s="214">
        <v>104419</v>
      </c>
      <c r="C259" s="51">
        <f t="shared" si="6"/>
        <v>8.3093871827947405E-2</v>
      </c>
      <c r="D259"/>
    </row>
    <row r="260" spans="1:4" ht="12.75" customHeight="1" x14ac:dyDescent="0.25">
      <c r="A260" s="32" t="s">
        <v>24</v>
      </c>
      <c r="B260" s="214">
        <v>88554</v>
      </c>
      <c r="C260" s="51">
        <f t="shared" si="6"/>
        <v>7.0468925443186156E-2</v>
      </c>
      <c r="D260"/>
    </row>
    <row r="261" spans="1:4" ht="12.75" customHeight="1" x14ac:dyDescent="0.25">
      <c r="A261" s="32" t="s">
        <v>25</v>
      </c>
      <c r="B261" s="214">
        <v>2952</v>
      </c>
      <c r="C261" s="51">
        <f t="shared" si="6"/>
        <v>2.3491233361371084E-3</v>
      </c>
      <c r="D261"/>
    </row>
    <row r="262" spans="1:4" ht="12.75" customHeight="1" x14ac:dyDescent="0.25">
      <c r="A262" s="32" t="s">
        <v>95</v>
      </c>
      <c r="B262" s="214">
        <v>11132</v>
      </c>
      <c r="C262" s="51">
        <f t="shared" si="6"/>
        <v>8.8585504667609387E-3</v>
      </c>
      <c r="D262"/>
    </row>
    <row r="263" spans="1:4" ht="12.75" customHeight="1" x14ac:dyDescent="0.25">
      <c r="A263" s="32" t="s">
        <v>2</v>
      </c>
      <c r="B263" s="214">
        <v>13313</v>
      </c>
      <c r="C263" s="51">
        <f t="shared" si="6"/>
        <v>1.0594132443764677E-2</v>
      </c>
      <c r="D263"/>
    </row>
    <row r="264" spans="1:4" ht="12.75" customHeight="1" x14ac:dyDescent="0.25">
      <c r="A264" s="32" t="s">
        <v>26</v>
      </c>
      <c r="B264" s="214">
        <v>24505</v>
      </c>
      <c r="C264" s="51">
        <f t="shared" si="6"/>
        <v>1.9500429319796696E-2</v>
      </c>
      <c r="D264"/>
    </row>
    <row r="265" spans="1:4" ht="12.75" customHeight="1" x14ac:dyDescent="0.25">
      <c r="A265" s="32" t="s">
        <v>82</v>
      </c>
      <c r="B265" s="214">
        <v>131682</v>
      </c>
      <c r="C265" s="51">
        <f t="shared" si="6"/>
        <v>0.10478904442723805</v>
      </c>
      <c r="D265"/>
    </row>
    <row r="266" spans="1:4" ht="12.75" customHeight="1" x14ac:dyDescent="0.25">
      <c r="A266" s="32" t="s">
        <v>27</v>
      </c>
      <c r="B266" s="214">
        <v>36869</v>
      </c>
      <c r="C266" s="51">
        <f t="shared" si="6"/>
        <v>2.9339372723590468E-2</v>
      </c>
      <c r="D266"/>
    </row>
    <row r="267" spans="1:4" ht="12.75" customHeight="1" x14ac:dyDescent="0.25">
      <c r="A267" s="32" t="s">
        <v>96</v>
      </c>
      <c r="B267" s="214">
        <v>11810</v>
      </c>
      <c r="C267" s="51">
        <f t="shared" si="6"/>
        <v>9.3980848915241368E-3</v>
      </c>
      <c r="D267"/>
    </row>
    <row r="268" spans="1:4" ht="12.75" customHeight="1" x14ac:dyDescent="0.25">
      <c r="A268" s="32" t="s">
        <v>28</v>
      </c>
      <c r="B268" s="214">
        <v>12671</v>
      </c>
      <c r="C268" s="51">
        <f t="shared" si="6"/>
        <v>1.0083245864564126E-2</v>
      </c>
      <c r="D268"/>
    </row>
    <row r="269" spans="1:4" ht="12.75" customHeight="1" x14ac:dyDescent="0.25">
      <c r="A269" s="32" t="s">
        <v>29</v>
      </c>
      <c r="B269" s="214">
        <v>46788</v>
      </c>
      <c r="C269" s="51">
        <f t="shared" si="6"/>
        <v>3.7232649949587748E-2</v>
      </c>
      <c r="D269"/>
    </row>
    <row r="270" spans="1:4" ht="12.75" customHeight="1" x14ac:dyDescent="0.25">
      <c r="A270" s="32" t="s">
        <v>30</v>
      </c>
      <c r="B270" s="214">
        <v>146594</v>
      </c>
      <c r="C270" s="51">
        <f t="shared" si="6"/>
        <v>0.116655618678077</v>
      </c>
      <c r="D270"/>
    </row>
    <row r="271" spans="1:4" ht="12.75" customHeight="1" x14ac:dyDescent="0.25">
      <c r="A271" s="32" t="s">
        <v>31</v>
      </c>
      <c r="B271" s="214">
        <v>105261</v>
      </c>
      <c r="C271" s="51">
        <f t="shared" si="6"/>
        <v>8.3763913104718216E-2</v>
      </c>
      <c r="D271"/>
    </row>
    <row r="272" spans="1:4" ht="12.75" customHeight="1" x14ac:dyDescent="0.25">
      <c r="A272" s="32" t="s">
        <v>98</v>
      </c>
      <c r="B272" s="214">
        <v>10207</v>
      </c>
      <c r="C272" s="51">
        <f t="shared" si="6"/>
        <v>8.1224599904984648E-3</v>
      </c>
      <c r="D272"/>
    </row>
    <row r="273" spans="1:4" ht="12.75" customHeight="1" x14ac:dyDescent="0.25">
      <c r="A273" s="32" t="s">
        <v>175</v>
      </c>
      <c r="B273" s="214">
        <v>6</v>
      </c>
      <c r="C273" s="51">
        <f t="shared" si="6"/>
        <v>4.7746409271079441E-6</v>
      </c>
      <c r="D273"/>
    </row>
    <row r="274" spans="1:4" ht="12.75" customHeight="1" x14ac:dyDescent="0.25">
      <c r="A274" s="32" t="s">
        <v>3</v>
      </c>
      <c r="B274" s="214">
        <v>4618</v>
      </c>
      <c r="C274" s="51">
        <f>B274/A$275</f>
        <v>3.6748819668974146E-3</v>
      </c>
      <c r="D274"/>
    </row>
    <row r="275" spans="1:4" x14ac:dyDescent="0.2">
      <c r="A275" s="310">
        <f>SUM(B249:B274)</f>
        <v>1256639</v>
      </c>
      <c r="B275" s="311"/>
      <c r="C275" s="42"/>
      <c r="D275"/>
    </row>
    <row r="276" spans="1:4" x14ac:dyDescent="0.2">
      <c r="D276"/>
    </row>
    <row r="283" spans="1:4" x14ac:dyDescent="0.2">
      <c r="D283"/>
    </row>
    <row r="284" spans="1:4" x14ac:dyDescent="0.2">
      <c r="A284" s="352" t="s">
        <v>66</v>
      </c>
      <c r="B284" s="352"/>
      <c r="C284" s="352"/>
      <c r="D284"/>
    </row>
    <row r="285" spans="1:4" x14ac:dyDescent="0.2">
      <c r="A285" s="32" t="s">
        <v>14</v>
      </c>
      <c r="B285" s="49">
        <v>14153</v>
      </c>
      <c r="C285" s="51">
        <f t="shared" ref="C285:C306" si="7">B285/A$311</f>
        <v>3.8706095669938441E-2</v>
      </c>
      <c r="D285"/>
    </row>
    <row r="286" spans="1:4" x14ac:dyDescent="0.2">
      <c r="A286" s="32" t="s">
        <v>15</v>
      </c>
      <c r="B286" s="36">
        <v>24381</v>
      </c>
      <c r="C286" s="51">
        <f t="shared" si="7"/>
        <v>6.6677970644299381E-2</v>
      </c>
      <c r="D286"/>
    </row>
    <row r="287" spans="1:4" x14ac:dyDescent="0.2">
      <c r="A287" s="32" t="s">
        <v>16</v>
      </c>
      <c r="B287" s="36">
        <v>44</v>
      </c>
      <c r="C287" s="51">
        <f t="shared" si="7"/>
        <v>1.2033266512239747E-4</v>
      </c>
      <c r="D287"/>
    </row>
    <row r="288" spans="1:4" x14ac:dyDescent="0.2">
      <c r="A288" s="53" t="s">
        <v>85</v>
      </c>
      <c r="B288" s="36">
        <v>2303</v>
      </c>
      <c r="C288" s="51">
        <f t="shared" si="7"/>
        <v>6.2983210858382124E-3</v>
      </c>
      <c r="D288"/>
    </row>
    <row r="289" spans="1:4" x14ac:dyDescent="0.2">
      <c r="A289" s="32" t="s">
        <v>17</v>
      </c>
      <c r="B289" s="36">
        <v>2325</v>
      </c>
      <c r="C289" s="51">
        <f t="shared" si="7"/>
        <v>6.3584874183994118E-3</v>
      </c>
      <c r="D289"/>
    </row>
    <row r="290" spans="1:4" x14ac:dyDescent="0.2">
      <c r="A290" s="32" t="s">
        <v>18</v>
      </c>
      <c r="B290" s="36">
        <v>106426</v>
      </c>
      <c r="C290" s="51">
        <f t="shared" si="7"/>
        <v>0.29105736859809711</v>
      </c>
      <c r="D290"/>
    </row>
    <row r="291" spans="1:4" x14ac:dyDescent="0.2">
      <c r="A291" s="32" t="s">
        <v>19</v>
      </c>
      <c r="B291" s="36">
        <v>2531</v>
      </c>
      <c r="C291" s="51">
        <f t="shared" si="7"/>
        <v>6.9218630778360903E-3</v>
      </c>
      <c r="D291"/>
    </row>
    <row r="292" spans="1:4" x14ac:dyDescent="0.2">
      <c r="A292" s="32" t="s">
        <v>20</v>
      </c>
      <c r="B292" s="36">
        <v>43</v>
      </c>
      <c r="C292" s="51">
        <f t="shared" si="7"/>
        <v>1.1759783182416115E-4</v>
      </c>
      <c r="D292"/>
    </row>
    <row r="293" spans="1:4" x14ac:dyDescent="0.2">
      <c r="A293" s="32" t="s">
        <v>21</v>
      </c>
      <c r="B293" s="36">
        <v>31751</v>
      </c>
      <c r="C293" s="51">
        <f t="shared" si="7"/>
        <v>8.6833692052300945E-2</v>
      </c>
      <c r="D293"/>
    </row>
    <row r="294" spans="1:4" x14ac:dyDescent="0.2">
      <c r="A294" s="32" t="s">
        <v>22</v>
      </c>
      <c r="B294" s="36">
        <v>1739</v>
      </c>
      <c r="C294" s="51">
        <f t="shared" si="7"/>
        <v>4.7558751056329361E-3</v>
      </c>
      <c r="D294"/>
    </row>
    <row r="295" spans="1:4" x14ac:dyDescent="0.2">
      <c r="A295" s="32" t="s">
        <v>23</v>
      </c>
      <c r="B295" s="36">
        <v>45852</v>
      </c>
      <c r="C295" s="51">
        <f t="shared" si="7"/>
        <v>0.1253975763907311</v>
      </c>
      <c r="D295"/>
    </row>
    <row r="296" spans="1:4" x14ac:dyDescent="0.2">
      <c r="A296" s="32" t="s">
        <v>24</v>
      </c>
      <c r="B296" s="36">
        <v>22926</v>
      </c>
      <c r="C296" s="51">
        <f t="shared" si="7"/>
        <v>6.2698788195365548E-2</v>
      </c>
      <c r="D296"/>
    </row>
    <row r="297" spans="1:4" x14ac:dyDescent="0.2">
      <c r="A297" s="32" t="s">
        <v>25</v>
      </c>
      <c r="B297" s="156"/>
      <c r="C297" s="51">
        <f t="shared" si="7"/>
        <v>0</v>
      </c>
      <c r="D297"/>
    </row>
    <row r="298" spans="1:4" x14ac:dyDescent="0.2">
      <c r="A298" s="32" t="s">
        <v>95</v>
      </c>
      <c r="B298" s="36">
        <v>30</v>
      </c>
      <c r="C298" s="51">
        <f t="shared" si="7"/>
        <v>8.2044998947089181E-5</v>
      </c>
      <c r="D298"/>
    </row>
    <row r="299" spans="1:4" x14ac:dyDescent="0.2">
      <c r="A299" s="32" t="s">
        <v>2</v>
      </c>
      <c r="B299" s="36">
        <v>412</v>
      </c>
      <c r="C299" s="51">
        <f t="shared" si="7"/>
        <v>1.1267513188733581E-3</v>
      </c>
      <c r="D299"/>
    </row>
    <row r="300" spans="1:4" x14ac:dyDescent="0.2">
      <c r="A300" s="32" t="s">
        <v>26</v>
      </c>
      <c r="B300" s="36">
        <v>10636</v>
      </c>
      <c r="C300" s="51">
        <f t="shared" si="7"/>
        <v>2.908768696004135E-2</v>
      </c>
      <c r="D300"/>
    </row>
    <row r="301" spans="1:4" x14ac:dyDescent="0.2">
      <c r="A301" s="53" t="s">
        <v>82</v>
      </c>
      <c r="B301" s="36">
        <v>67046</v>
      </c>
      <c r="C301" s="51">
        <f t="shared" si="7"/>
        <v>0.18335963331355137</v>
      </c>
      <c r="D301"/>
    </row>
    <row r="302" spans="1:4" x14ac:dyDescent="0.2">
      <c r="A302" s="32" t="s">
        <v>27</v>
      </c>
      <c r="B302" s="36">
        <v>109</v>
      </c>
      <c r="C302" s="51">
        <f t="shared" si="7"/>
        <v>2.9809682950775738E-4</v>
      </c>
      <c r="D302"/>
    </row>
    <row r="303" spans="1:4" x14ac:dyDescent="0.2">
      <c r="A303" s="32" t="s">
        <v>96</v>
      </c>
      <c r="B303" s="36">
        <v>6138</v>
      </c>
      <c r="C303" s="51">
        <f t="shared" si="7"/>
        <v>1.6786406784574447E-2</v>
      </c>
      <c r="D303"/>
    </row>
    <row r="304" spans="1:4" x14ac:dyDescent="0.2">
      <c r="A304" s="32" t="s">
        <v>28</v>
      </c>
      <c r="B304" s="36">
        <v>97</v>
      </c>
      <c r="C304" s="51">
        <f t="shared" si="7"/>
        <v>2.6527882992892168E-4</v>
      </c>
      <c r="D304"/>
    </row>
    <row r="305" spans="1:4" x14ac:dyDescent="0.2">
      <c r="A305" s="32" t="s">
        <v>29</v>
      </c>
      <c r="B305" s="36">
        <v>13747</v>
      </c>
      <c r="C305" s="51">
        <f t="shared" si="7"/>
        <v>3.7595753350854501E-2</v>
      </c>
      <c r="D305"/>
    </row>
    <row r="306" spans="1:4" x14ac:dyDescent="0.2">
      <c r="A306" s="32" t="s">
        <v>30</v>
      </c>
      <c r="B306" s="36">
        <v>7898</v>
      </c>
      <c r="C306" s="51">
        <f t="shared" si="7"/>
        <v>2.1599713389470344E-2</v>
      </c>
      <c r="D306"/>
    </row>
    <row r="307" spans="1:4" x14ac:dyDescent="0.2">
      <c r="A307" s="32" t="s">
        <v>31</v>
      </c>
      <c r="B307" s="209">
        <v>95</v>
      </c>
      <c r="C307" s="51">
        <f>B308/A$311</f>
        <v>1.3474523660410279E-2</v>
      </c>
      <c r="D307"/>
    </row>
    <row r="308" spans="1:4" x14ac:dyDescent="0.2">
      <c r="A308" s="53" t="s">
        <v>98</v>
      </c>
      <c r="B308" s="36">
        <v>4927</v>
      </c>
      <c r="C308" s="51">
        <f>B310/A$311</f>
        <v>1.1759783182416115E-4</v>
      </c>
      <c r="D308"/>
    </row>
    <row r="309" spans="1:4" x14ac:dyDescent="0.2">
      <c r="A309" s="53" t="s">
        <v>175</v>
      </c>
      <c r="B309" s="36">
        <v>1</v>
      </c>
      <c r="C309" s="51">
        <f>B311/A$311</f>
        <v>0</v>
      </c>
      <c r="D309"/>
    </row>
    <row r="310" spans="1:4" x14ac:dyDescent="0.2">
      <c r="A310" s="32" t="s">
        <v>3</v>
      </c>
      <c r="B310" s="36">
        <v>43</v>
      </c>
      <c r="C310" s="51">
        <f>B311/A$311</f>
        <v>0</v>
      </c>
      <c r="D310"/>
    </row>
    <row r="311" spans="1:4" x14ac:dyDescent="0.2">
      <c r="A311" s="412">
        <f>SUM(B285:B310)</f>
        <v>365653</v>
      </c>
      <c r="B311" s="412"/>
      <c r="C311" s="42"/>
      <c r="D311"/>
    </row>
    <row r="314" spans="1:4" ht="15" x14ac:dyDescent="0.25">
      <c r="D314" s="205"/>
    </row>
    <row r="315" spans="1:4" ht="15" x14ac:dyDescent="0.25">
      <c r="D315" s="204"/>
    </row>
    <row r="316" spans="1:4" ht="15" x14ac:dyDescent="0.25">
      <c r="D316" s="204"/>
    </row>
    <row r="317" spans="1:4" ht="15" x14ac:dyDescent="0.25">
      <c r="D317" s="204"/>
    </row>
    <row r="318" spans="1:4" ht="15" x14ac:dyDescent="0.25">
      <c r="D318" s="204"/>
    </row>
    <row r="319" spans="1:4" ht="15" x14ac:dyDescent="0.25">
      <c r="D319" s="204"/>
    </row>
    <row r="320" spans="1:4" x14ac:dyDescent="0.2">
      <c r="A320" s="308" t="s">
        <v>67</v>
      </c>
      <c r="B320" s="309"/>
      <c r="C320" s="309"/>
      <c r="D320"/>
    </row>
    <row r="321" spans="1:4" x14ac:dyDescent="0.2">
      <c r="A321" s="32" t="s">
        <v>14</v>
      </c>
      <c r="B321" s="49">
        <v>29015</v>
      </c>
      <c r="C321" s="51">
        <f>B321/A$347</f>
        <v>0.13732181057493895</v>
      </c>
      <c r="D321"/>
    </row>
    <row r="322" spans="1:4" x14ac:dyDescent="0.2">
      <c r="A322" s="32" t="s">
        <v>15</v>
      </c>
      <c r="B322" s="36">
        <v>1311</v>
      </c>
      <c r="C322" s="51">
        <f t="shared" ref="C322:C346" si="8">B322/A$347</f>
        <v>6.2046835658709273E-3</v>
      </c>
      <c r="D322"/>
    </row>
    <row r="323" spans="1:4" x14ac:dyDescent="0.2">
      <c r="A323" s="32" t="s">
        <v>16</v>
      </c>
      <c r="B323" s="36">
        <v>34</v>
      </c>
      <c r="C323" s="51">
        <f t="shared" si="8"/>
        <v>1.6091475304318194E-4</v>
      </c>
      <c r="D323"/>
    </row>
    <row r="324" spans="1:4" x14ac:dyDescent="0.2">
      <c r="A324" s="53" t="s">
        <v>85</v>
      </c>
      <c r="B324" s="36">
        <v>161</v>
      </c>
      <c r="C324" s="51">
        <f t="shared" si="8"/>
        <v>7.6197868352800868E-4</v>
      </c>
      <c r="D324"/>
    </row>
    <row r="325" spans="1:4" x14ac:dyDescent="0.2">
      <c r="A325" s="32" t="s">
        <v>17</v>
      </c>
      <c r="B325" s="36">
        <v>8732</v>
      </c>
      <c r="C325" s="51">
        <f t="shared" si="8"/>
        <v>4.1326694810972495E-2</v>
      </c>
      <c r="D325"/>
    </row>
    <row r="326" spans="1:4" x14ac:dyDescent="0.2">
      <c r="A326" s="32" t="s">
        <v>18</v>
      </c>
      <c r="B326" s="36">
        <v>95671</v>
      </c>
      <c r="C326" s="51">
        <f t="shared" si="8"/>
        <v>0.45279045112924293</v>
      </c>
      <c r="D326"/>
    </row>
    <row r="327" spans="1:4" x14ac:dyDescent="0.2">
      <c r="A327" s="32" t="s">
        <v>19</v>
      </c>
      <c r="B327" s="36">
        <v>813</v>
      </c>
      <c r="C327" s="51">
        <f t="shared" si="8"/>
        <v>3.8477557124737332E-3</v>
      </c>
      <c r="D327"/>
    </row>
    <row r="328" spans="1:4" x14ac:dyDescent="0.2">
      <c r="A328" s="32" t="s">
        <v>20</v>
      </c>
      <c r="B328" s="36">
        <v>83</v>
      </c>
      <c r="C328" s="51">
        <f t="shared" si="8"/>
        <v>3.9282130889953238E-4</v>
      </c>
      <c r="D328"/>
    </row>
    <row r="329" spans="1:4" x14ac:dyDescent="0.2">
      <c r="A329" s="32" t="s">
        <v>21</v>
      </c>
      <c r="B329" s="36">
        <v>1549</v>
      </c>
      <c r="C329" s="51">
        <f t="shared" si="8"/>
        <v>7.3310868371732011E-3</v>
      </c>
      <c r="D329"/>
    </row>
    <row r="330" spans="1:4" x14ac:dyDescent="0.2">
      <c r="A330" s="32" t="s">
        <v>22</v>
      </c>
      <c r="B330" s="36">
        <v>2662</v>
      </c>
      <c r="C330" s="51">
        <f t="shared" si="8"/>
        <v>1.2598678605910305E-2</v>
      </c>
      <c r="D330"/>
    </row>
    <row r="331" spans="1:4" x14ac:dyDescent="0.2">
      <c r="A331" s="32" t="s">
        <v>23</v>
      </c>
      <c r="B331" s="36">
        <v>16041</v>
      </c>
      <c r="C331" s="51">
        <f t="shared" si="8"/>
        <v>7.5918633928402396E-2</v>
      </c>
      <c r="D331"/>
    </row>
    <row r="332" spans="1:4" x14ac:dyDescent="0.2">
      <c r="A332" s="32" t="s">
        <v>24</v>
      </c>
      <c r="B332" s="36">
        <v>39432</v>
      </c>
      <c r="C332" s="51">
        <f t="shared" si="8"/>
        <v>0.18662325123525736</v>
      </c>
      <c r="D332"/>
    </row>
    <row r="333" spans="1:4" x14ac:dyDescent="0.2">
      <c r="A333" s="32" t="s">
        <v>25</v>
      </c>
      <c r="B333" s="156"/>
      <c r="C333" s="51">
        <f t="shared" si="8"/>
        <v>0</v>
      </c>
      <c r="D333"/>
    </row>
    <row r="334" spans="1:4" x14ac:dyDescent="0.2">
      <c r="A334" s="32" t="s">
        <v>95</v>
      </c>
      <c r="B334" s="210">
        <v>14</v>
      </c>
      <c r="C334" s="51">
        <f t="shared" si="8"/>
        <v>6.6259015958957277E-5</v>
      </c>
      <c r="D334"/>
    </row>
    <row r="335" spans="1:4" x14ac:dyDescent="0.2">
      <c r="A335" s="32" t="s">
        <v>2</v>
      </c>
      <c r="B335" s="36">
        <v>75</v>
      </c>
      <c r="C335" s="51">
        <f t="shared" si="8"/>
        <v>3.5495901406584253E-4</v>
      </c>
      <c r="D335"/>
    </row>
    <row r="336" spans="1:4" x14ac:dyDescent="0.2">
      <c r="A336" s="32" t="s">
        <v>26</v>
      </c>
      <c r="B336" s="36">
        <v>942</v>
      </c>
      <c r="C336" s="51">
        <f t="shared" si="8"/>
        <v>4.4582852166669823E-3</v>
      </c>
      <c r="D336"/>
    </row>
    <row r="337" spans="1:4" x14ac:dyDescent="0.2">
      <c r="A337" s="53" t="s">
        <v>82</v>
      </c>
      <c r="B337" s="36">
        <v>84</v>
      </c>
      <c r="C337" s="51">
        <f t="shared" si="8"/>
        <v>3.9755409575374363E-4</v>
      </c>
      <c r="D337"/>
    </row>
    <row r="338" spans="1:4" x14ac:dyDescent="0.2">
      <c r="A338" s="32" t="s">
        <v>27</v>
      </c>
      <c r="B338" s="36">
        <v>1444</v>
      </c>
      <c r="C338" s="51">
        <f t="shared" si="8"/>
        <v>6.8341442174810214E-3</v>
      </c>
      <c r="D338"/>
    </row>
    <row r="339" spans="1:4" x14ac:dyDescent="0.2">
      <c r="A339" s="32" t="s">
        <v>96</v>
      </c>
      <c r="B339" s="36">
        <v>2054</v>
      </c>
      <c r="C339" s="51">
        <f t="shared" si="8"/>
        <v>9.7211441985498737E-3</v>
      </c>
      <c r="D339"/>
    </row>
    <row r="340" spans="1:4" x14ac:dyDescent="0.2">
      <c r="A340" s="32" t="s">
        <v>28</v>
      </c>
      <c r="B340" s="36">
        <v>243</v>
      </c>
      <c r="C340" s="51">
        <f t="shared" si="8"/>
        <v>1.1500672055733299E-3</v>
      </c>
      <c r="D340"/>
    </row>
    <row r="341" spans="1:4" x14ac:dyDescent="0.2">
      <c r="A341" s="32" t="s">
        <v>29</v>
      </c>
      <c r="B341" s="36">
        <v>5816</v>
      </c>
      <c r="C341" s="51">
        <f t="shared" si="8"/>
        <v>2.7525888344092534E-2</v>
      </c>
      <c r="D341"/>
    </row>
    <row r="342" spans="1:4" x14ac:dyDescent="0.2">
      <c r="A342" s="32" t="s">
        <v>30</v>
      </c>
      <c r="B342" s="36">
        <v>3648</v>
      </c>
      <c r="C342" s="51">
        <f t="shared" si="8"/>
        <v>1.726520644416258E-2</v>
      </c>
      <c r="D342"/>
    </row>
    <row r="343" spans="1:4" x14ac:dyDescent="0.2">
      <c r="A343" s="32" t="s">
        <v>31</v>
      </c>
      <c r="B343" s="36">
        <v>756</v>
      </c>
      <c r="C343" s="51">
        <f t="shared" si="8"/>
        <v>3.5779868617836926E-3</v>
      </c>
      <c r="D343"/>
    </row>
    <row r="344" spans="1:4" x14ac:dyDescent="0.2">
      <c r="A344" s="53" t="s">
        <v>98</v>
      </c>
      <c r="B344" s="36">
        <v>710</v>
      </c>
      <c r="C344" s="51">
        <f t="shared" si="8"/>
        <v>3.360278666489976E-3</v>
      </c>
      <c r="D344"/>
    </row>
    <row r="345" spans="1:4" x14ac:dyDescent="0.2">
      <c r="A345" s="53" t="s">
        <v>175</v>
      </c>
      <c r="B345" s="156"/>
      <c r="C345" s="51">
        <f t="shared" si="8"/>
        <v>0</v>
      </c>
      <c r="D345"/>
    </row>
    <row r="346" spans="1:4" x14ac:dyDescent="0.2">
      <c r="A346" s="32" t="s">
        <v>3</v>
      </c>
      <c r="B346" s="210">
        <v>2</v>
      </c>
      <c r="C346" s="51">
        <f t="shared" si="8"/>
        <v>9.4655737084224674E-6</v>
      </c>
    </row>
    <row r="347" spans="1:4" x14ac:dyDescent="0.2">
      <c r="A347" s="310">
        <f>SUM(B321:B346)</f>
        <v>211292</v>
      </c>
      <c r="B347" s="311"/>
      <c r="C347" s="42"/>
    </row>
    <row r="358" spans="1:6" ht="24.75" customHeight="1" x14ac:dyDescent="0.2">
      <c r="A358" s="353" t="s">
        <v>97</v>
      </c>
      <c r="B358" s="351"/>
      <c r="C358" s="351"/>
      <c r="D358"/>
    </row>
    <row r="359" spans="1:6" x14ac:dyDescent="0.2">
      <c r="A359" s="32" t="s">
        <v>14</v>
      </c>
      <c r="B359" s="49">
        <v>6931</v>
      </c>
      <c r="C359" s="51">
        <f>B359/A$347</f>
        <v>3.2802945686538063E-2</v>
      </c>
      <c r="D359"/>
    </row>
    <row r="360" spans="1:6" x14ac:dyDescent="0.2">
      <c r="A360" s="32" t="s">
        <v>15</v>
      </c>
      <c r="B360" s="36">
        <v>4909</v>
      </c>
      <c r="C360" s="51">
        <f t="shared" ref="C360:C384" si="9">B360/A$347</f>
        <v>2.3233250667322947E-2</v>
      </c>
      <c r="D360"/>
    </row>
    <row r="361" spans="1:6" x14ac:dyDescent="0.2">
      <c r="A361" s="32" t="s">
        <v>16</v>
      </c>
      <c r="B361" s="36">
        <v>8851</v>
      </c>
      <c r="C361" s="51">
        <f t="shared" si="9"/>
        <v>4.188989644662363E-2</v>
      </c>
      <c r="D361"/>
    </row>
    <row r="362" spans="1:6" x14ac:dyDescent="0.2">
      <c r="A362" s="53" t="s">
        <v>85</v>
      </c>
      <c r="B362" s="36">
        <v>413</v>
      </c>
      <c r="C362" s="51">
        <f t="shared" si="9"/>
        <v>1.9546409707892395E-3</v>
      </c>
      <c r="D362"/>
    </row>
    <row r="363" spans="1:6" x14ac:dyDescent="0.2">
      <c r="A363" s="32" t="s">
        <v>17</v>
      </c>
      <c r="B363" s="36">
        <v>8028</v>
      </c>
      <c r="C363" s="51">
        <f t="shared" si="9"/>
        <v>3.7994812865607783E-2</v>
      </c>
      <c r="D363"/>
    </row>
    <row r="364" spans="1:6" x14ac:dyDescent="0.2">
      <c r="A364" s="32" t="s">
        <v>18</v>
      </c>
      <c r="B364" s="36">
        <v>20535</v>
      </c>
      <c r="C364" s="51">
        <f t="shared" si="9"/>
        <v>9.7187778051227691E-2</v>
      </c>
      <c r="D364"/>
    </row>
    <row r="365" spans="1:6" x14ac:dyDescent="0.2">
      <c r="A365" s="32" t="s">
        <v>19</v>
      </c>
      <c r="B365" s="36">
        <v>1654</v>
      </c>
      <c r="C365" s="51">
        <f t="shared" si="9"/>
        <v>7.8280294568653808E-3</v>
      </c>
      <c r="D365"/>
    </row>
    <row r="366" spans="1:6" x14ac:dyDescent="0.2">
      <c r="A366" s="32" t="s">
        <v>20</v>
      </c>
      <c r="B366" s="36">
        <v>2573</v>
      </c>
      <c r="C366" s="51">
        <f t="shared" si="9"/>
        <v>1.2177460575885505E-2</v>
      </c>
      <c r="D366"/>
    </row>
    <row r="367" spans="1:6" x14ac:dyDescent="0.2">
      <c r="A367" s="32" t="s">
        <v>21</v>
      </c>
      <c r="B367" s="36">
        <v>7659</v>
      </c>
      <c r="C367" s="51">
        <f t="shared" si="9"/>
        <v>3.6248414516403836E-2</v>
      </c>
      <c r="D367"/>
    </row>
    <row r="368" spans="1:6" ht="15" x14ac:dyDescent="0.25">
      <c r="A368" s="32" t="s">
        <v>22</v>
      </c>
      <c r="B368" s="36">
        <v>965</v>
      </c>
      <c r="C368" s="51">
        <f t="shared" si="9"/>
        <v>4.5671393143138402E-3</v>
      </c>
      <c r="D368"/>
      <c r="E368" s="205"/>
      <c r="F368" s="205"/>
    </row>
    <row r="369" spans="1:6" ht="15" x14ac:dyDescent="0.25">
      <c r="A369" s="32" t="s">
        <v>23</v>
      </c>
      <c r="B369" s="36">
        <v>10767</v>
      </c>
      <c r="C369" s="51">
        <f t="shared" si="9"/>
        <v>5.0957916059292355E-2</v>
      </c>
      <c r="D369"/>
      <c r="E369" s="204"/>
      <c r="F369" s="204"/>
    </row>
    <row r="370" spans="1:6" ht="15" x14ac:dyDescent="0.25">
      <c r="A370" s="32" t="s">
        <v>24</v>
      </c>
      <c r="B370" s="36">
        <v>6222</v>
      </c>
      <c r="C370" s="51">
        <f t="shared" si="9"/>
        <v>2.9447399806902298E-2</v>
      </c>
      <c r="D370"/>
      <c r="E370" s="204"/>
      <c r="F370" s="204"/>
    </row>
    <row r="371" spans="1:6" ht="15" x14ac:dyDescent="0.25">
      <c r="A371" s="32" t="s">
        <v>25</v>
      </c>
      <c r="B371" s="36">
        <v>1255</v>
      </c>
      <c r="C371" s="51">
        <f t="shared" si="9"/>
        <v>5.9396475020350985E-3</v>
      </c>
      <c r="D371"/>
      <c r="E371" s="204"/>
      <c r="F371" s="204"/>
    </row>
    <row r="372" spans="1:6" ht="15" x14ac:dyDescent="0.25">
      <c r="A372" s="32" t="s">
        <v>95</v>
      </c>
      <c r="B372" s="36">
        <v>4783</v>
      </c>
      <c r="C372" s="51">
        <f t="shared" si="9"/>
        <v>2.2636919523692331E-2</v>
      </c>
      <c r="D372"/>
      <c r="E372" s="204"/>
      <c r="F372" s="204"/>
    </row>
    <row r="373" spans="1:6" ht="15" x14ac:dyDescent="0.25">
      <c r="A373" s="32" t="s">
        <v>2</v>
      </c>
      <c r="B373" s="36">
        <v>5969</v>
      </c>
      <c r="C373" s="51">
        <f t="shared" si="9"/>
        <v>2.8250004732786854E-2</v>
      </c>
      <c r="D373"/>
      <c r="E373" s="204"/>
      <c r="F373" s="204"/>
    </row>
    <row r="374" spans="1:6" ht="15" x14ac:dyDescent="0.25">
      <c r="A374" s="32" t="s">
        <v>26</v>
      </c>
      <c r="B374" s="36">
        <v>4095</v>
      </c>
      <c r="C374" s="51">
        <f t="shared" si="9"/>
        <v>1.9380762167995003E-2</v>
      </c>
      <c r="D374"/>
      <c r="E374" s="204"/>
      <c r="F374" s="204"/>
    </row>
    <row r="375" spans="1:6" ht="15" x14ac:dyDescent="0.25">
      <c r="A375" s="53" t="s">
        <v>82</v>
      </c>
      <c r="B375" s="36">
        <v>17611</v>
      </c>
      <c r="C375" s="51">
        <f t="shared" si="9"/>
        <v>8.3349109289514042E-2</v>
      </c>
      <c r="D375"/>
      <c r="E375" s="204"/>
      <c r="F375" s="204"/>
    </row>
    <row r="376" spans="1:6" ht="15" x14ac:dyDescent="0.25">
      <c r="A376" s="32" t="s">
        <v>27</v>
      </c>
      <c r="B376" s="36">
        <v>10321</v>
      </c>
      <c r="C376" s="51">
        <f t="shared" si="9"/>
        <v>4.8847093122314146E-2</v>
      </c>
      <c r="D376"/>
      <c r="E376" s="204"/>
      <c r="F376" s="204"/>
    </row>
    <row r="377" spans="1:6" ht="15" x14ac:dyDescent="0.25">
      <c r="A377" s="32" t="s">
        <v>96</v>
      </c>
      <c r="B377" s="36">
        <v>1459</v>
      </c>
      <c r="C377" s="51">
        <f t="shared" si="9"/>
        <v>6.90513602029419E-3</v>
      </c>
      <c r="D377"/>
      <c r="E377" s="204"/>
      <c r="F377" s="204"/>
    </row>
    <row r="378" spans="1:6" ht="15" x14ac:dyDescent="0.25">
      <c r="A378" s="32" t="s">
        <v>28</v>
      </c>
      <c r="B378" s="36">
        <v>3553</v>
      </c>
      <c r="C378" s="51">
        <f t="shared" si="9"/>
        <v>1.6815591693012513E-2</v>
      </c>
      <c r="D378"/>
      <c r="E378" s="204"/>
      <c r="F378" s="204"/>
    </row>
    <row r="379" spans="1:6" ht="15" x14ac:dyDescent="0.25">
      <c r="A379" s="32" t="s">
        <v>29</v>
      </c>
      <c r="B379" s="36">
        <v>6980</v>
      </c>
      <c r="C379" s="51">
        <f t="shared" si="9"/>
        <v>3.3034852242394414E-2</v>
      </c>
      <c r="D379"/>
      <c r="E379" s="204"/>
      <c r="F379" s="204"/>
    </row>
    <row r="380" spans="1:6" ht="15" x14ac:dyDescent="0.25">
      <c r="A380" s="32" t="s">
        <v>30</v>
      </c>
      <c r="B380" s="36">
        <v>41408</v>
      </c>
      <c r="C380" s="51">
        <f t="shared" si="9"/>
        <v>0.19597523805917877</v>
      </c>
      <c r="D380"/>
      <c r="E380" s="204"/>
      <c r="F380" s="204"/>
    </row>
    <row r="381" spans="1:6" ht="15" x14ac:dyDescent="0.25">
      <c r="A381" s="32" t="s">
        <v>31</v>
      </c>
      <c r="B381" s="36">
        <v>26887</v>
      </c>
      <c r="C381" s="51">
        <f t="shared" si="9"/>
        <v>0.12725044014917744</v>
      </c>
      <c r="D381"/>
      <c r="E381" s="204"/>
      <c r="F381" s="204"/>
    </row>
    <row r="382" spans="1:6" ht="15" x14ac:dyDescent="0.25">
      <c r="A382" s="53" t="s">
        <v>98</v>
      </c>
      <c r="B382" s="36">
        <v>1505</v>
      </c>
      <c r="C382" s="51">
        <f t="shared" si="9"/>
        <v>7.1228442155879066E-3</v>
      </c>
      <c r="D382"/>
      <c r="E382" s="204"/>
      <c r="F382" s="204"/>
    </row>
    <row r="383" spans="1:6" ht="15" x14ac:dyDescent="0.25">
      <c r="A383" s="53" t="s">
        <v>175</v>
      </c>
      <c r="B383" s="202">
        <v>3</v>
      </c>
      <c r="C383" s="51">
        <f t="shared" si="9"/>
        <v>1.4198360562633702E-5</v>
      </c>
      <c r="D383"/>
      <c r="E383" s="204"/>
      <c r="F383" s="204"/>
    </row>
    <row r="384" spans="1:6" ht="15" x14ac:dyDescent="0.25">
      <c r="A384" s="32" t="s">
        <v>3</v>
      </c>
      <c r="B384" s="36">
        <v>1311</v>
      </c>
      <c r="C384" s="51">
        <f t="shared" si="9"/>
        <v>6.2046835658709273E-3</v>
      </c>
      <c r="D384"/>
      <c r="E384" s="204"/>
      <c r="F384" s="204"/>
    </row>
    <row r="385" spans="1:16" ht="15" x14ac:dyDescent="0.25">
      <c r="A385" s="310">
        <f>SUM(B359:B384)</f>
        <v>206647</v>
      </c>
      <c r="B385" s="311"/>
      <c r="C385" s="42"/>
      <c r="E385" s="204"/>
      <c r="F385" s="204"/>
      <c r="G385" s="204"/>
      <c r="H385" s="204"/>
    </row>
    <row r="386" spans="1:16" ht="15" x14ac:dyDescent="0.25">
      <c r="E386" s="204"/>
      <c r="F386" s="204"/>
      <c r="G386" s="204"/>
      <c r="H386" s="204"/>
    </row>
    <row r="387" spans="1:16" ht="15" x14ac:dyDescent="0.25">
      <c r="E387" s="204"/>
      <c r="F387" s="204"/>
      <c r="G387" s="204"/>
      <c r="H387" s="204"/>
    </row>
    <row r="388" spans="1:16" ht="15" x14ac:dyDescent="0.25">
      <c r="E388" s="204"/>
      <c r="F388" s="204"/>
      <c r="G388" s="204"/>
      <c r="H388" s="204"/>
    </row>
    <row r="389" spans="1:16" ht="15" x14ac:dyDescent="0.25">
      <c r="E389" s="204"/>
      <c r="F389" s="204"/>
      <c r="G389" s="204"/>
      <c r="H389" s="204"/>
    </row>
    <row r="390" spans="1:16" ht="15" x14ac:dyDescent="0.25">
      <c r="E390" s="204"/>
      <c r="F390" s="204"/>
      <c r="G390" s="204"/>
      <c r="H390" s="204"/>
    </row>
    <row r="391" spans="1:16" ht="15" x14ac:dyDescent="0.25">
      <c r="E391" s="204"/>
      <c r="F391" s="204"/>
      <c r="G391" s="204"/>
      <c r="H391" s="204"/>
    </row>
    <row r="392" spans="1:16" ht="15" x14ac:dyDescent="0.25">
      <c r="E392" s="204"/>
      <c r="F392" s="204"/>
      <c r="G392" s="204"/>
      <c r="H392" s="204"/>
    </row>
    <row r="393" spans="1:16" ht="15" x14ac:dyDescent="0.25">
      <c r="E393" s="204"/>
      <c r="F393" s="204"/>
      <c r="G393" s="204"/>
      <c r="H393" s="204"/>
    </row>
    <row r="394" spans="1:16" ht="15.75" thickBot="1" x14ac:dyDescent="0.3">
      <c r="A394" s="395" t="s">
        <v>104</v>
      </c>
      <c r="B394" s="395"/>
      <c r="C394" s="395"/>
      <c r="D394" s="395"/>
      <c r="E394" s="395"/>
      <c r="F394" s="395"/>
      <c r="G394" s="395"/>
      <c r="H394" s="395"/>
      <c r="I394" s="395"/>
      <c r="J394" s="395"/>
      <c r="K394" s="395"/>
      <c r="L394" s="395"/>
      <c r="M394" t="s">
        <v>146</v>
      </c>
      <c r="N394" s="126"/>
      <c r="O394"/>
      <c r="P394"/>
    </row>
    <row r="395" spans="1:16" ht="15.75" thickBot="1" x14ac:dyDescent="0.3">
      <c r="A395" s="396"/>
      <c r="B395" s="397"/>
      <c r="C395" s="397"/>
      <c r="D395" s="397"/>
      <c r="E395" s="397"/>
      <c r="F395" s="397"/>
      <c r="G395" s="397"/>
      <c r="H395" s="397"/>
      <c r="I395" s="397"/>
      <c r="J395" s="397"/>
      <c r="K395" s="397"/>
      <c r="L395" s="397"/>
      <c r="M395" s="398">
        <v>2014</v>
      </c>
      <c r="N395" s="399"/>
      <c r="O395" s="399"/>
      <c r="P395" s="400"/>
    </row>
    <row r="396" spans="1:16" ht="15" customHeight="1" x14ac:dyDescent="0.25">
      <c r="A396" s="383" t="s">
        <v>106</v>
      </c>
      <c r="B396" s="384"/>
      <c r="C396" s="384"/>
      <c r="D396" s="384"/>
      <c r="E396" s="384"/>
      <c r="F396" s="384"/>
      <c r="G396" s="384"/>
      <c r="H396" s="384"/>
      <c r="I396" s="384"/>
      <c r="J396" s="384"/>
      <c r="K396" s="384"/>
      <c r="L396" s="401"/>
      <c r="M396" s="116">
        <v>79383</v>
      </c>
      <c r="N396" s="117">
        <f t="shared" ref="N396:N429" si="10">M396/M$429</f>
        <v>0.37592343536899531</v>
      </c>
      <c r="O396" s="402">
        <f>SUM(N396:N398)</f>
        <v>0.81113615699348396</v>
      </c>
      <c r="P396" s="386">
        <f>O396</f>
        <v>0.81113615699348396</v>
      </c>
    </row>
    <row r="397" spans="1:16" ht="15" customHeight="1" x14ac:dyDescent="0.25">
      <c r="A397" s="389" t="s">
        <v>107</v>
      </c>
      <c r="B397" s="390"/>
      <c r="C397" s="390"/>
      <c r="D397" s="390"/>
      <c r="E397" s="390"/>
      <c r="F397" s="390"/>
      <c r="G397" s="390"/>
      <c r="H397" s="390"/>
      <c r="I397" s="390"/>
      <c r="J397" s="390"/>
      <c r="K397" s="390"/>
      <c r="L397" s="405"/>
      <c r="M397" s="109">
        <v>90568</v>
      </c>
      <c r="N397" s="108">
        <f t="shared" si="10"/>
        <v>0.42889074102136687</v>
      </c>
      <c r="O397" s="403"/>
      <c r="P397" s="387"/>
    </row>
    <row r="398" spans="1:16" ht="15.75" customHeight="1" thickBot="1" x14ac:dyDescent="0.3">
      <c r="A398" s="392" t="s">
        <v>108</v>
      </c>
      <c r="B398" s="393"/>
      <c r="C398" s="393"/>
      <c r="D398" s="393"/>
      <c r="E398" s="393"/>
      <c r="F398" s="393"/>
      <c r="G398" s="393"/>
      <c r="H398" s="393"/>
      <c r="I398" s="393"/>
      <c r="J398" s="393"/>
      <c r="K398" s="393"/>
      <c r="L398" s="406"/>
      <c r="M398" s="110">
        <v>1335</v>
      </c>
      <c r="N398" s="115">
        <f t="shared" si="10"/>
        <v>6.321980603121685E-3</v>
      </c>
      <c r="O398" s="404"/>
      <c r="P398" s="388"/>
    </row>
    <row r="399" spans="1:16" ht="15" customHeight="1" x14ac:dyDescent="0.25">
      <c r="A399" s="383" t="s">
        <v>109</v>
      </c>
      <c r="B399" s="384"/>
      <c r="C399" s="384"/>
      <c r="D399" s="384"/>
      <c r="E399" s="384"/>
      <c r="F399" s="384"/>
      <c r="G399" s="384"/>
      <c r="H399" s="384"/>
      <c r="I399" s="384"/>
      <c r="J399" s="384"/>
      <c r="K399" s="384"/>
      <c r="L399" s="385"/>
      <c r="M399" s="134">
        <v>5252</v>
      </c>
      <c r="N399" s="117">
        <f t="shared" si="10"/>
        <v>2.4871192604940143E-2</v>
      </c>
      <c r="O399" s="386">
        <f>SUM(N399:N412)</f>
        <v>2.98103879375663E-2</v>
      </c>
      <c r="P399" s="407">
        <f>SUM(O399:O428)</f>
        <v>0.18884963630853158</v>
      </c>
    </row>
    <row r="400" spans="1:16" ht="15" customHeight="1" x14ac:dyDescent="0.25">
      <c r="A400" s="389" t="s">
        <v>110</v>
      </c>
      <c r="B400" s="390"/>
      <c r="C400" s="390"/>
      <c r="D400" s="390"/>
      <c r="E400" s="390"/>
      <c r="F400" s="390"/>
      <c r="G400" s="390"/>
      <c r="H400" s="390"/>
      <c r="I400" s="390"/>
      <c r="J400" s="390"/>
      <c r="K400" s="390"/>
      <c r="L400" s="391"/>
      <c r="M400" s="135">
        <v>239</v>
      </c>
      <c r="N400" s="108">
        <f t="shared" si="10"/>
        <v>1.1318002727686014E-3</v>
      </c>
      <c r="O400" s="387"/>
      <c r="P400" s="408"/>
    </row>
    <row r="401" spans="1:16" ht="15" customHeight="1" x14ac:dyDescent="0.25">
      <c r="A401" s="389" t="s">
        <v>111</v>
      </c>
      <c r="B401" s="390"/>
      <c r="C401" s="390"/>
      <c r="D401" s="390"/>
      <c r="E401" s="390"/>
      <c r="F401" s="390"/>
      <c r="G401" s="390"/>
      <c r="H401" s="390"/>
      <c r="I401" s="390"/>
      <c r="J401" s="390"/>
      <c r="K401" s="390"/>
      <c r="L401" s="391"/>
      <c r="M401" s="135">
        <v>54</v>
      </c>
      <c r="N401" s="108">
        <f t="shared" si="10"/>
        <v>2.5572056372177604E-4</v>
      </c>
      <c r="O401" s="387"/>
      <c r="P401" s="408"/>
    </row>
    <row r="402" spans="1:16" ht="15" customHeight="1" x14ac:dyDescent="0.25">
      <c r="A402" s="389" t="s">
        <v>112</v>
      </c>
      <c r="B402" s="390"/>
      <c r="C402" s="390"/>
      <c r="D402" s="390"/>
      <c r="E402" s="390"/>
      <c r="F402" s="390"/>
      <c r="G402" s="390"/>
      <c r="H402" s="390"/>
      <c r="I402" s="390"/>
      <c r="J402" s="390"/>
      <c r="K402" s="390"/>
      <c r="L402" s="391"/>
      <c r="M402" s="135">
        <v>24</v>
      </c>
      <c r="N402" s="108">
        <f t="shared" si="10"/>
        <v>1.136535838763449E-4</v>
      </c>
      <c r="O402" s="387"/>
      <c r="P402" s="408"/>
    </row>
    <row r="403" spans="1:16" ht="15" customHeight="1" x14ac:dyDescent="0.25">
      <c r="A403" s="389" t="s">
        <v>113</v>
      </c>
      <c r="B403" s="390"/>
      <c r="C403" s="390"/>
      <c r="D403" s="390"/>
      <c r="E403" s="390"/>
      <c r="F403" s="390"/>
      <c r="G403" s="390"/>
      <c r="H403" s="390"/>
      <c r="I403" s="390"/>
      <c r="J403" s="390"/>
      <c r="K403" s="390"/>
      <c r="L403" s="391"/>
      <c r="M403" s="135">
        <v>16</v>
      </c>
      <c r="N403" s="108">
        <f t="shared" si="10"/>
        <v>7.5769055917563263E-5</v>
      </c>
      <c r="O403" s="387"/>
      <c r="P403" s="408"/>
    </row>
    <row r="404" spans="1:16" ht="15" customHeight="1" x14ac:dyDescent="0.25">
      <c r="A404" s="389" t="s">
        <v>114</v>
      </c>
      <c r="B404" s="390"/>
      <c r="C404" s="390"/>
      <c r="D404" s="390"/>
      <c r="E404" s="390"/>
      <c r="F404" s="390"/>
      <c r="G404" s="390"/>
      <c r="H404" s="390"/>
      <c r="I404" s="390"/>
      <c r="J404" s="390"/>
      <c r="K404" s="390"/>
      <c r="L404" s="391"/>
      <c r="M404" s="135">
        <v>584</v>
      </c>
      <c r="N404" s="108">
        <f t="shared" si="10"/>
        <v>2.7655705409910594E-3</v>
      </c>
      <c r="O404" s="387"/>
      <c r="P404" s="408"/>
    </row>
    <row r="405" spans="1:16" ht="15" customHeight="1" x14ac:dyDescent="0.25">
      <c r="A405" s="389" t="s">
        <v>115</v>
      </c>
      <c r="B405" s="390"/>
      <c r="C405" s="390"/>
      <c r="D405" s="390"/>
      <c r="E405" s="390"/>
      <c r="F405" s="390"/>
      <c r="G405" s="390"/>
      <c r="H405" s="390"/>
      <c r="I405" s="390"/>
      <c r="J405" s="390"/>
      <c r="K405" s="390"/>
      <c r="L405" s="391"/>
      <c r="M405" s="135">
        <v>60</v>
      </c>
      <c r="N405" s="108">
        <f t="shared" si="10"/>
        <v>2.8413395969086226E-4</v>
      </c>
      <c r="O405" s="387"/>
      <c r="P405" s="408"/>
    </row>
    <row r="406" spans="1:16" ht="15" customHeight="1" x14ac:dyDescent="0.25">
      <c r="A406" s="389" t="s">
        <v>116</v>
      </c>
      <c r="B406" s="390"/>
      <c r="C406" s="390"/>
      <c r="D406" s="390"/>
      <c r="E406" s="390"/>
      <c r="F406" s="390"/>
      <c r="G406" s="390"/>
      <c r="H406" s="390"/>
      <c r="I406" s="390"/>
      <c r="J406" s="390"/>
      <c r="K406" s="390"/>
      <c r="L406" s="391"/>
      <c r="M406" s="135"/>
      <c r="N406" s="108">
        <f t="shared" si="10"/>
        <v>0</v>
      </c>
      <c r="O406" s="387"/>
      <c r="P406" s="408"/>
    </row>
    <row r="407" spans="1:16" ht="15" customHeight="1" x14ac:dyDescent="0.25">
      <c r="A407" s="296" t="s">
        <v>147</v>
      </c>
      <c r="B407" s="305"/>
      <c r="C407" s="305"/>
      <c r="D407" s="305"/>
      <c r="E407" s="305"/>
      <c r="F407" s="305"/>
      <c r="G407" s="305"/>
      <c r="H407" s="305"/>
      <c r="I407" s="305"/>
      <c r="J407" s="305"/>
      <c r="K407" s="305"/>
      <c r="L407" s="409"/>
      <c r="M407" s="127">
        <v>1</v>
      </c>
      <c r="N407" s="108">
        <f t="shared" si="10"/>
        <v>4.7355659948477039E-6</v>
      </c>
      <c r="O407" s="387"/>
      <c r="P407" s="408"/>
    </row>
    <row r="408" spans="1:16" ht="15" customHeight="1" x14ac:dyDescent="0.25">
      <c r="A408" s="389" t="s">
        <v>117</v>
      </c>
      <c r="B408" s="390"/>
      <c r="C408" s="390"/>
      <c r="D408" s="390"/>
      <c r="E408" s="390"/>
      <c r="F408" s="390"/>
      <c r="G408" s="390"/>
      <c r="H408" s="390"/>
      <c r="I408" s="390"/>
      <c r="J408" s="390"/>
      <c r="K408" s="390"/>
      <c r="L408" s="391"/>
      <c r="M408" s="135"/>
      <c r="N408" s="108">
        <f t="shared" si="10"/>
        <v>0</v>
      </c>
      <c r="O408" s="387"/>
      <c r="P408" s="408"/>
    </row>
    <row r="409" spans="1:16" ht="15" customHeight="1" x14ac:dyDescent="0.25">
      <c r="A409" s="389" t="s">
        <v>118</v>
      </c>
      <c r="B409" s="390"/>
      <c r="C409" s="390"/>
      <c r="D409" s="390"/>
      <c r="E409" s="390"/>
      <c r="F409" s="390"/>
      <c r="G409" s="390"/>
      <c r="H409" s="390"/>
      <c r="I409" s="390"/>
      <c r="J409" s="390"/>
      <c r="K409" s="390"/>
      <c r="L409" s="391"/>
      <c r="M409" s="135">
        <v>52</v>
      </c>
      <c r="N409" s="108">
        <f t="shared" si="10"/>
        <v>2.4624943173208062E-4</v>
      </c>
      <c r="O409" s="387"/>
      <c r="P409" s="408"/>
    </row>
    <row r="410" spans="1:16" ht="15" customHeight="1" x14ac:dyDescent="0.25">
      <c r="A410" s="389" t="s">
        <v>119</v>
      </c>
      <c r="B410" s="390"/>
      <c r="C410" s="390"/>
      <c r="D410" s="390"/>
      <c r="E410" s="390"/>
      <c r="F410" s="390"/>
      <c r="G410" s="390"/>
      <c r="H410" s="390"/>
      <c r="I410" s="390"/>
      <c r="J410" s="390"/>
      <c r="K410" s="390"/>
      <c r="L410" s="391"/>
      <c r="M410" s="135">
        <v>1</v>
      </c>
      <c r="N410" s="108">
        <f t="shared" si="10"/>
        <v>4.7355659948477039E-6</v>
      </c>
      <c r="O410" s="387"/>
      <c r="P410" s="408"/>
    </row>
    <row r="411" spans="1:16" ht="15" customHeight="1" x14ac:dyDescent="0.25">
      <c r="A411" s="290" t="s">
        <v>144</v>
      </c>
      <c r="B411" s="291"/>
      <c r="C411" s="291"/>
      <c r="D411" s="291"/>
      <c r="E411" s="291"/>
      <c r="F411" s="291"/>
      <c r="G411" s="291"/>
      <c r="H411" s="291"/>
      <c r="I411" s="291"/>
      <c r="J411" s="291"/>
      <c r="K411" s="291"/>
      <c r="L411" s="379"/>
      <c r="M411" s="127">
        <v>3</v>
      </c>
      <c r="N411" s="108">
        <f t="shared" si="10"/>
        <v>1.4206697984543113E-5</v>
      </c>
      <c r="O411" s="387"/>
      <c r="P411" s="408"/>
    </row>
    <row r="412" spans="1:16" ht="15.75" customHeight="1" thickBot="1" x14ac:dyDescent="0.3">
      <c r="A412" s="380" t="s">
        <v>145</v>
      </c>
      <c r="B412" s="381"/>
      <c r="C412" s="381"/>
      <c r="D412" s="381"/>
      <c r="E412" s="381"/>
      <c r="F412" s="381"/>
      <c r="G412" s="381"/>
      <c r="H412" s="381"/>
      <c r="I412" s="381"/>
      <c r="J412" s="381"/>
      <c r="K412" s="381"/>
      <c r="L412" s="382"/>
      <c r="M412" s="136">
        <v>9</v>
      </c>
      <c r="N412" s="115">
        <f t="shared" si="10"/>
        <v>4.2620093953629336E-5</v>
      </c>
      <c r="O412" s="388"/>
      <c r="P412" s="408"/>
    </row>
    <row r="413" spans="1:16" ht="15" customHeight="1" x14ac:dyDescent="0.25">
      <c r="A413" s="383" t="s">
        <v>120</v>
      </c>
      <c r="B413" s="384"/>
      <c r="C413" s="384"/>
      <c r="D413" s="384"/>
      <c r="E413" s="384"/>
      <c r="F413" s="384"/>
      <c r="G413" s="384"/>
      <c r="H413" s="384"/>
      <c r="I413" s="384"/>
      <c r="J413" s="384"/>
      <c r="K413" s="384"/>
      <c r="L413" s="385"/>
      <c r="M413" s="134">
        <v>78</v>
      </c>
      <c r="N413" s="117">
        <f t="shared" si="10"/>
        <v>3.693741475981209E-4</v>
      </c>
      <c r="O413" s="386">
        <f>SUM(N413:N426)</f>
        <v>3.7008448249734795E-2</v>
      </c>
      <c r="P413" s="408"/>
    </row>
    <row r="414" spans="1:16" ht="15" customHeight="1" x14ac:dyDescent="0.25">
      <c r="A414" s="389" t="s">
        <v>121</v>
      </c>
      <c r="B414" s="390"/>
      <c r="C414" s="390"/>
      <c r="D414" s="390"/>
      <c r="E414" s="390"/>
      <c r="F414" s="390"/>
      <c r="G414" s="390"/>
      <c r="H414" s="390"/>
      <c r="I414" s="390"/>
      <c r="J414" s="390"/>
      <c r="K414" s="390"/>
      <c r="L414" s="391"/>
      <c r="M414" s="135">
        <v>7184</v>
      </c>
      <c r="N414" s="108">
        <f t="shared" si="10"/>
        <v>3.4020306106985906E-2</v>
      </c>
      <c r="O414" s="387"/>
      <c r="P414" s="408"/>
    </row>
    <row r="415" spans="1:16" ht="15" customHeight="1" x14ac:dyDescent="0.25">
      <c r="A415" s="389" t="s">
        <v>122</v>
      </c>
      <c r="B415" s="390"/>
      <c r="C415" s="390"/>
      <c r="D415" s="390"/>
      <c r="E415" s="390"/>
      <c r="F415" s="390"/>
      <c r="G415" s="390"/>
      <c r="H415" s="390"/>
      <c r="I415" s="390"/>
      <c r="J415" s="390"/>
      <c r="K415" s="390"/>
      <c r="L415" s="391"/>
      <c r="M415" s="135">
        <v>4</v>
      </c>
      <c r="N415" s="108">
        <f t="shared" si="10"/>
        <v>1.8942263979390816E-5</v>
      </c>
      <c r="O415" s="387"/>
      <c r="P415" s="408"/>
    </row>
    <row r="416" spans="1:16" ht="15" customHeight="1" x14ac:dyDescent="0.25">
      <c r="A416" s="389" t="s">
        <v>123</v>
      </c>
      <c r="B416" s="390"/>
      <c r="C416" s="390"/>
      <c r="D416" s="390"/>
      <c r="E416" s="390"/>
      <c r="F416" s="390"/>
      <c r="G416" s="390"/>
      <c r="H416" s="390"/>
      <c r="I416" s="390"/>
      <c r="J416" s="390"/>
      <c r="K416" s="390"/>
      <c r="L416" s="391"/>
      <c r="M416" s="135">
        <v>205</v>
      </c>
      <c r="N416" s="108">
        <f t="shared" si="10"/>
        <v>9.7079102894377938E-4</v>
      </c>
      <c r="O416" s="387"/>
      <c r="P416" s="408"/>
    </row>
    <row r="417" spans="1:16" ht="15" customHeight="1" x14ac:dyDescent="0.25">
      <c r="A417" s="389" t="s">
        <v>124</v>
      </c>
      <c r="B417" s="390"/>
      <c r="C417" s="390"/>
      <c r="D417" s="390"/>
      <c r="E417" s="390"/>
      <c r="F417" s="390"/>
      <c r="G417" s="390"/>
      <c r="H417" s="390"/>
      <c r="I417" s="390"/>
      <c r="J417" s="390"/>
      <c r="K417" s="390"/>
      <c r="L417" s="391"/>
      <c r="M417" s="135">
        <v>67</v>
      </c>
      <c r="N417" s="108">
        <f t="shared" si="10"/>
        <v>3.1728292165479616E-4</v>
      </c>
      <c r="O417" s="387"/>
      <c r="P417" s="408"/>
    </row>
    <row r="418" spans="1:16" ht="15" customHeight="1" x14ac:dyDescent="0.25">
      <c r="A418" s="389" t="s">
        <v>125</v>
      </c>
      <c r="B418" s="390"/>
      <c r="C418" s="390"/>
      <c r="D418" s="390"/>
      <c r="E418" s="390"/>
      <c r="F418" s="390"/>
      <c r="G418" s="390"/>
      <c r="H418" s="390"/>
      <c r="I418" s="390"/>
      <c r="J418" s="390"/>
      <c r="K418" s="390"/>
      <c r="L418" s="391"/>
      <c r="M418" s="135">
        <v>109</v>
      </c>
      <c r="N418" s="108">
        <f t="shared" si="10"/>
        <v>5.1617669343839972E-4</v>
      </c>
      <c r="O418" s="387"/>
      <c r="P418" s="408"/>
    </row>
    <row r="419" spans="1:16" ht="15" customHeight="1" x14ac:dyDescent="0.25">
      <c r="A419" s="389" t="s">
        <v>126</v>
      </c>
      <c r="B419" s="390"/>
      <c r="C419" s="390"/>
      <c r="D419" s="390"/>
      <c r="E419" s="390"/>
      <c r="F419" s="390"/>
      <c r="G419" s="390"/>
      <c r="H419" s="390"/>
      <c r="I419" s="390"/>
      <c r="J419" s="390"/>
      <c r="K419" s="390"/>
      <c r="L419" s="391"/>
      <c r="M419" s="135">
        <v>96</v>
      </c>
      <c r="N419" s="108">
        <f t="shared" si="10"/>
        <v>4.546143355053796E-4</v>
      </c>
      <c r="O419" s="387"/>
      <c r="P419" s="408"/>
    </row>
    <row r="420" spans="1:16" ht="15" customHeight="1" x14ac:dyDescent="0.25">
      <c r="A420" s="389" t="s">
        <v>127</v>
      </c>
      <c r="B420" s="390"/>
      <c r="C420" s="390"/>
      <c r="D420" s="390"/>
      <c r="E420" s="390"/>
      <c r="F420" s="390"/>
      <c r="G420" s="390"/>
      <c r="H420" s="390"/>
      <c r="I420" s="390"/>
      <c r="J420" s="390"/>
      <c r="K420" s="390"/>
      <c r="L420" s="391"/>
      <c r="M420" s="135">
        <v>35</v>
      </c>
      <c r="N420" s="108">
        <f t="shared" si="10"/>
        <v>1.6574480981966966E-4</v>
      </c>
      <c r="O420" s="387"/>
      <c r="P420" s="408"/>
    </row>
    <row r="421" spans="1:16" ht="15" customHeight="1" x14ac:dyDescent="0.25">
      <c r="A421" s="389" t="s">
        <v>128</v>
      </c>
      <c r="B421" s="390"/>
      <c r="C421" s="390"/>
      <c r="D421" s="390"/>
      <c r="E421" s="390"/>
      <c r="F421" s="390"/>
      <c r="G421" s="390"/>
      <c r="H421" s="390"/>
      <c r="I421" s="390"/>
      <c r="J421" s="390"/>
      <c r="K421" s="390"/>
      <c r="L421" s="391"/>
      <c r="M421" s="135">
        <v>3</v>
      </c>
      <c r="N421" s="108">
        <f t="shared" si="10"/>
        <v>1.4206697984543113E-5</v>
      </c>
      <c r="O421" s="387"/>
      <c r="P421" s="408"/>
    </row>
    <row r="422" spans="1:16" ht="15" customHeight="1" x14ac:dyDescent="0.25">
      <c r="A422" s="389" t="s">
        <v>133</v>
      </c>
      <c r="B422" s="390"/>
      <c r="C422" s="390"/>
      <c r="D422" s="390"/>
      <c r="E422" s="390"/>
      <c r="F422" s="390"/>
      <c r="G422" s="390"/>
      <c r="H422" s="390"/>
      <c r="I422" s="390"/>
      <c r="J422" s="390"/>
      <c r="K422" s="390"/>
      <c r="L422" s="391"/>
      <c r="M422" s="135">
        <v>4</v>
      </c>
      <c r="N422" s="108">
        <f t="shared" si="10"/>
        <v>1.8942263979390816E-5</v>
      </c>
      <c r="O422" s="387"/>
      <c r="P422" s="408"/>
    </row>
    <row r="423" spans="1:16" ht="15" customHeight="1" x14ac:dyDescent="0.25">
      <c r="A423" s="389" t="s">
        <v>178</v>
      </c>
      <c r="B423" s="390"/>
      <c r="C423" s="390"/>
      <c r="D423" s="390"/>
      <c r="E423" s="390"/>
      <c r="F423" s="390"/>
      <c r="G423" s="390"/>
      <c r="H423" s="390"/>
      <c r="I423" s="390"/>
      <c r="J423" s="390"/>
      <c r="K423" s="390"/>
      <c r="L423" s="391"/>
      <c r="M423" s="135">
        <v>25</v>
      </c>
      <c r="N423" s="108">
        <f t="shared" si="10"/>
        <v>1.183891498711926E-4</v>
      </c>
      <c r="O423" s="387"/>
      <c r="P423" s="408"/>
    </row>
    <row r="424" spans="1:16" ht="15" customHeight="1" x14ac:dyDescent="0.25">
      <c r="A424" s="296" t="s">
        <v>148</v>
      </c>
      <c r="B424" s="291"/>
      <c r="C424" s="291"/>
      <c r="D424" s="291"/>
      <c r="E424" s="291"/>
      <c r="F424" s="291"/>
      <c r="G424" s="291"/>
      <c r="H424" s="291"/>
      <c r="I424" s="291"/>
      <c r="J424" s="291"/>
      <c r="K424" s="291"/>
      <c r="L424" s="379"/>
      <c r="M424" s="127">
        <v>1</v>
      </c>
      <c r="N424" s="108">
        <f t="shared" si="10"/>
        <v>4.7355659948477039E-6</v>
      </c>
      <c r="O424" s="387"/>
      <c r="P424" s="408"/>
    </row>
    <row r="425" spans="1:16" ht="15" customHeight="1" x14ac:dyDescent="0.25">
      <c r="A425" s="389" t="s">
        <v>129</v>
      </c>
      <c r="B425" s="390"/>
      <c r="C425" s="390"/>
      <c r="D425" s="390"/>
      <c r="E425" s="390"/>
      <c r="F425" s="390"/>
      <c r="G425" s="390"/>
      <c r="H425" s="390"/>
      <c r="I425" s="390"/>
      <c r="J425" s="390"/>
      <c r="K425" s="390"/>
      <c r="L425" s="391"/>
      <c r="M425" s="135">
        <v>2</v>
      </c>
      <c r="N425" s="108">
        <f t="shared" si="10"/>
        <v>9.4711319896954078E-6</v>
      </c>
      <c r="O425" s="387"/>
      <c r="P425" s="408"/>
    </row>
    <row r="426" spans="1:16" ht="15.75" customHeight="1" thickBot="1" x14ac:dyDescent="0.3">
      <c r="A426" s="392" t="s">
        <v>130</v>
      </c>
      <c r="B426" s="393"/>
      <c r="C426" s="393"/>
      <c r="D426" s="393"/>
      <c r="E426" s="393"/>
      <c r="F426" s="393"/>
      <c r="G426" s="393"/>
      <c r="H426" s="393"/>
      <c r="I426" s="393"/>
      <c r="J426" s="393"/>
      <c r="K426" s="393"/>
      <c r="L426" s="394"/>
      <c r="M426" s="137">
        <v>2</v>
      </c>
      <c r="N426" s="115">
        <f t="shared" si="10"/>
        <v>9.4711319896954078E-6</v>
      </c>
      <c r="O426" s="388"/>
      <c r="P426" s="408"/>
    </row>
    <row r="427" spans="1:16" ht="15.75" customHeight="1" thickBot="1" x14ac:dyDescent="0.3">
      <c r="A427" s="410" t="s">
        <v>131</v>
      </c>
      <c r="B427" s="410"/>
      <c r="C427" s="410"/>
      <c r="D427" s="410"/>
      <c r="E427" s="410"/>
      <c r="F427" s="410"/>
      <c r="G427" s="410"/>
      <c r="H427" s="410"/>
      <c r="I427" s="410"/>
      <c r="J427" s="410"/>
      <c r="K427" s="410"/>
      <c r="L427" s="411"/>
      <c r="M427" s="119">
        <v>25769</v>
      </c>
      <c r="N427" s="120">
        <f t="shared" si="10"/>
        <v>0.12203080012123049</v>
      </c>
      <c r="O427" s="121">
        <f>N427</f>
        <v>0.12203080012123049</v>
      </c>
      <c r="P427" s="408"/>
    </row>
    <row r="428" spans="1:16" ht="15.75" customHeight="1" thickBot="1" x14ac:dyDescent="0.3">
      <c r="A428" s="375" t="s">
        <v>132</v>
      </c>
      <c r="B428" s="376"/>
      <c r="C428" s="376"/>
      <c r="D428" s="376"/>
      <c r="E428" s="376"/>
      <c r="F428" s="376"/>
      <c r="G428" s="376"/>
      <c r="H428" s="376"/>
      <c r="I428" s="376"/>
      <c r="J428" s="376"/>
      <c r="K428" s="376"/>
      <c r="L428" s="377"/>
      <c r="M428" s="119">
        <v>3</v>
      </c>
      <c r="N428" s="120">
        <f t="shared" si="10"/>
        <v>1.4206697984543113E-5</v>
      </c>
      <c r="O428" s="125"/>
      <c r="P428" s="408"/>
    </row>
    <row r="429" spans="1:16" ht="13.5" thickBot="1" x14ac:dyDescent="0.25">
      <c r="A429" s="284" t="s">
        <v>134</v>
      </c>
      <c r="B429" s="284"/>
      <c r="C429" s="284"/>
      <c r="D429" s="284"/>
      <c r="E429" s="284"/>
      <c r="F429" s="284"/>
      <c r="G429" s="284"/>
      <c r="H429" s="284"/>
      <c r="I429" s="284"/>
      <c r="J429" s="284"/>
      <c r="K429" s="284"/>
      <c r="L429" s="378"/>
      <c r="M429" s="123">
        <f>SUM(M396:M428)</f>
        <v>211168</v>
      </c>
      <c r="N429" s="124">
        <f t="shared" si="10"/>
        <v>1</v>
      </c>
      <c r="O429" s="124">
        <f t="shared" ref="O429:P429" si="11">SUM(O396:O428)</f>
        <v>0.99998579330201554</v>
      </c>
      <c r="P429" s="111">
        <f t="shared" si="11"/>
        <v>0.99998579330201554</v>
      </c>
    </row>
    <row r="432" spans="1:16" ht="30" x14ac:dyDescent="0.25">
      <c r="A432" s="171" t="s">
        <v>173</v>
      </c>
      <c r="B432" s="171" t="s">
        <v>172</v>
      </c>
      <c r="C432" s="171" t="s">
        <v>169</v>
      </c>
      <c r="D432" s="171" t="s">
        <v>170</v>
      </c>
    </row>
    <row r="433" spans="1:4" ht="15" x14ac:dyDescent="0.25">
      <c r="A433" s="152" t="s">
        <v>14</v>
      </c>
      <c r="B433" s="153">
        <v>10</v>
      </c>
      <c r="C433" s="163">
        <f t="shared" ref="C433:C456" si="12">B433/D433</f>
        <v>1.3137842240790371E-4</v>
      </c>
      <c r="D433" s="153">
        <v>76116</v>
      </c>
    </row>
    <row r="434" spans="1:4" ht="15" x14ac:dyDescent="0.25">
      <c r="A434" s="152" t="s">
        <v>15</v>
      </c>
      <c r="B434" s="153">
        <v>5</v>
      </c>
      <c r="C434" s="163">
        <f t="shared" si="12"/>
        <v>1.2959411124358508E-4</v>
      </c>
      <c r="D434" s="153">
        <v>38582</v>
      </c>
    </row>
    <row r="435" spans="1:4" ht="15" x14ac:dyDescent="0.25">
      <c r="A435" s="152" t="s">
        <v>16</v>
      </c>
      <c r="B435" s="153">
        <v>346</v>
      </c>
      <c r="C435" s="163">
        <f t="shared" si="12"/>
        <v>1.1818150766813539E-2</v>
      </c>
      <c r="D435" s="153">
        <v>29277</v>
      </c>
    </row>
    <row r="436" spans="1:4" ht="15" x14ac:dyDescent="0.25">
      <c r="A436" s="152" t="s">
        <v>85</v>
      </c>
      <c r="B436" s="153">
        <v>423</v>
      </c>
      <c r="C436" s="163">
        <f t="shared" si="12"/>
        <v>0.14232839838492597</v>
      </c>
      <c r="D436" s="153">
        <v>2972</v>
      </c>
    </row>
    <row r="437" spans="1:4" ht="15" x14ac:dyDescent="0.25">
      <c r="A437" s="152" t="s">
        <v>17</v>
      </c>
      <c r="B437" s="153">
        <v>5</v>
      </c>
      <c r="C437" s="163">
        <f t="shared" si="12"/>
        <v>1.5124474424513747E-4</v>
      </c>
      <c r="D437" s="153">
        <v>33059</v>
      </c>
    </row>
    <row r="438" spans="1:4" ht="15" x14ac:dyDescent="0.25">
      <c r="A438" s="152" t="s">
        <v>18</v>
      </c>
      <c r="B438" s="153">
        <v>621</v>
      </c>
      <c r="C438" s="163">
        <f t="shared" si="12"/>
        <v>2.0646250926754017E-3</v>
      </c>
      <c r="D438" s="153">
        <v>300781</v>
      </c>
    </row>
    <row r="439" spans="1:4" ht="15" x14ac:dyDescent="0.25">
      <c r="A439" s="152" t="s">
        <v>19</v>
      </c>
      <c r="B439" s="153">
        <v>95</v>
      </c>
      <c r="C439" s="163">
        <f t="shared" si="12"/>
        <v>1.384637807899723E-2</v>
      </c>
      <c r="D439" s="153">
        <v>6861</v>
      </c>
    </row>
    <row r="440" spans="1:4" ht="15" x14ac:dyDescent="0.25">
      <c r="A440" s="152" t="s">
        <v>20</v>
      </c>
      <c r="B440" s="153">
        <v>135</v>
      </c>
      <c r="C440" s="163">
        <f t="shared" si="12"/>
        <v>2.7812113720642771E-2</v>
      </c>
      <c r="D440" s="153">
        <v>4854</v>
      </c>
    </row>
    <row r="441" spans="1:4" ht="15" x14ac:dyDescent="0.25">
      <c r="A441" s="152" t="s">
        <v>23</v>
      </c>
      <c r="B441" s="153">
        <v>344</v>
      </c>
      <c r="C441" s="163">
        <f t="shared" si="12"/>
        <v>3.5901396397336619E-3</v>
      </c>
      <c r="D441" s="153">
        <v>95818</v>
      </c>
    </row>
    <row r="442" spans="1:4" ht="15" x14ac:dyDescent="0.25">
      <c r="A442" s="152" t="s">
        <v>24</v>
      </c>
      <c r="B442" s="153">
        <v>106</v>
      </c>
      <c r="C442" s="163">
        <f t="shared" si="12"/>
        <v>8.8914239699369214E-4</v>
      </c>
      <c r="D442" s="153">
        <v>119216</v>
      </c>
    </row>
    <row r="443" spans="1:4" ht="15" x14ac:dyDescent="0.25">
      <c r="A443" s="152" t="s">
        <v>25</v>
      </c>
      <c r="B443" s="153">
        <v>419</v>
      </c>
      <c r="C443" s="163">
        <f t="shared" si="12"/>
        <v>0.13878767803908579</v>
      </c>
      <c r="D443" s="153">
        <v>3019</v>
      </c>
    </row>
    <row r="444" spans="1:4" ht="15" x14ac:dyDescent="0.25">
      <c r="A444" s="152" t="s">
        <v>95</v>
      </c>
      <c r="B444" s="153">
        <v>57</v>
      </c>
      <c r="C444" s="163">
        <f t="shared" si="12"/>
        <v>4.0921817790221839E-3</v>
      </c>
      <c r="D444" s="153">
        <v>13929</v>
      </c>
    </row>
    <row r="445" spans="1:4" ht="15" x14ac:dyDescent="0.25">
      <c r="A445" s="152" t="s">
        <v>2</v>
      </c>
      <c r="B445" s="153">
        <v>1280</v>
      </c>
      <c r="C445" s="163">
        <f t="shared" si="12"/>
        <v>8.74555889587319E-2</v>
      </c>
      <c r="D445" s="153">
        <v>14636</v>
      </c>
    </row>
    <row r="446" spans="1:4" ht="15" x14ac:dyDescent="0.25">
      <c r="A446" s="152" t="s">
        <v>26</v>
      </c>
      <c r="B446" s="153">
        <v>151</v>
      </c>
      <c r="C446" s="163">
        <f t="shared" si="12"/>
        <v>7.8036175710594312E-3</v>
      </c>
      <c r="D446" s="153">
        <v>19350</v>
      </c>
    </row>
    <row r="447" spans="1:4" ht="15" x14ac:dyDescent="0.25">
      <c r="A447" s="152" t="s">
        <v>82</v>
      </c>
      <c r="B447" s="153">
        <v>357</v>
      </c>
      <c r="C447" s="163">
        <f t="shared" si="12"/>
        <v>5.0172864491103801E-3</v>
      </c>
      <c r="D447" s="153">
        <v>71154</v>
      </c>
    </row>
    <row r="448" spans="1:4" ht="15" x14ac:dyDescent="0.25">
      <c r="A448" s="152" t="s">
        <v>27</v>
      </c>
      <c r="B448" s="153">
        <v>111</v>
      </c>
      <c r="C448" s="163">
        <f t="shared" si="12"/>
        <v>4.0211563541515723E-3</v>
      </c>
      <c r="D448" s="153">
        <v>27604</v>
      </c>
    </row>
    <row r="449" spans="1:4" ht="15" x14ac:dyDescent="0.25">
      <c r="A449" s="152" t="s">
        <v>96</v>
      </c>
      <c r="B449" s="153">
        <v>1</v>
      </c>
      <c r="C449" s="163">
        <f t="shared" si="12"/>
        <v>8.6117809162934901E-5</v>
      </c>
      <c r="D449" s="153">
        <v>11612</v>
      </c>
    </row>
    <row r="450" spans="1:4" ht="15" x14ac:dyDescent="0.25">
      <c r="A450" s="152" t="s">
        <v>28</v>
      </c>
      <c r="B450" s="153">
        <v>1417</v>
      </c>
      <c r="C450" s="163">
        <f t="shared" si="12"/>
        <v>0.15542393331139628</v>
      </c>
      <c r="D450" s="153">
        <v>9117</v>
      </c>
    </row>
    <row r="451" spans="1:4" ht="15" x14ac:dyDescent="0.25">
      <c r="A451" s="152" t="s">
        <v>29</v>
      </c>
      <c r="B451" s="153">
        <v>197</v>
      </c>
      <c r="C451" s="163">
        <f t="shared" si="12"/>
        <v>4.6392238131122837E-3</v>
      </c>
      <c r="D451" s="153">
        <v>42464</v>
      </c>
    </row>
    <row r="452" spans="1:4" ht="15" x14ac:dyDescent="0.25">
      <c r="A452" s="152" t="s">
        <v>30</v>
      </c>
      <c r="B452" s="153">
        <v>4196</v>
      </c>
      <c r="C452" s="163">
        <f t="shared" si="12"/>
        <v>3.8786489434471536E-2</v>
      </c>
      <c r="D452" s="153">
        <v>108182</v>
      </c>
    </row>
    <row r="453" spans="1:4" ht="15" x14ac:dyDescent="0.25">
      <c r="A453" s="152" t="s">
        <v>31</v>
      </c>
      <c r="B453" s="153">
        <v>8370</v>
      </c>
      <c r="C453" s="163">
        <f t="shared" si="12"/>
        <v>5.0682119566204657E-2</v>
      </c>
      <c r="D453" s="153">
        <v>165147</v>
      </c>
    </row>
    <row r="454" spans="1:4" ht="15" x14ac:dyDescent="0.25">
      <c r="A454" s="152" t="s">
        <v>98</v>
      </c>
      <c r="B454" s="153">
        <v>21</v>
      </c>
      <c r="C454" s="163">
        <f t="shared" si="12"/>
        <v>2.6028755577590483E-3</v>
      </c>
      <c r="D454" s="153">
        <v>8068</v>
      </c>
    </row>
    <row r="455" spans="1:4" ht="15.75" thickBot="1" x14ac:dyDescent="0.3">
      <c r="A455" s="152" t="s">
        <v>3</v>
      </c>
      <c r="B455" s="153">
        <v>10</v>
      </c>
      <c r="C455" s="163">
        <f t="shared" si="12"/>
        <v>3.0684258975145749E-3</v>
      </c>
      <c r="D455" s="153">
        <v>3259</v>
      </c>
    </row>
    <row r="456" spans="1:4" ht="15.75" thickBot="1" x14ac:dyDescent="0.3">
      <c r="A456" s="167" t="s">
        <v>174</v>
      </c>
      <c r="B456" s="168">
        <f>SUM(B433:B455)</f>
        <v>18677</v>
      </c>
      <c r="C456" s="169">
        <f t="shared" si="12"/>
        <v>1.5498594695608662E-2</v>
      </c>
      <c r="D456" s="170">
        <f>SUM(D433:D455)</f>
        <v>1205077</v>
      </c>
    </row>
  </sheetData>
  <mergeCells count="115">
    <mergeCell ref="C4:J4"/>
    <mergeCell ref="C5:J5"/>
    <mergeCell ref="C6:J6"/>
    <mergeCell ref="C7:J7"/>
    <mergeCell ref="C8:J8"/>
    <mergeCell ref="C2:J2"/>
    <mergeCell ref="C3:J3"/>
    <mergeCell ref="C9:J9"/>
    <mergeCell ref="C10:J10"/>
    <mergeCell ref="C11:J11"/>
    <mergeCell ref="C12:J12"/>
    <mergeCell ref="C13:J13"/>
    <mergeCell ref="B147:E147"/>
    <mergeCell ref="A17:C17"/>
    <mergeCell ref="A64:B64"/>
    <mergeCell ref="A88:D88"/>
    <mergeCell ref="A141:G141"/>
    <mergeCell ref="B142:E142"/>
    <mergeCell ref="B143:E143"/>
    <mergeCell ref="B144:E144"/>
    <mergeCell ref="B145:E145"/>
    <mergeCell ref="B146:E146"/>
    <mergeCell ref="C14:J14"/>
    <mergeCell ref="A169:E169"/>
    <mergeCell ref="B148:E148"/>
    <mergeCell ref="B149:E149"/>
    <mergeCell ref="B150:E150"/>
    <mergeCell ref="B151:E151"/>
    <mergeCell ref="B152:E152"/>
    <mergeCell ref="B153:E153"/>
    <mergeCell ref="A154:E154"/>
    <mergeCell ref="A164:E164"/>
    <mergeCell ref="A165:C165"/>
    <mergeCell ref="A166:C166"/>
    <mergeCell ref="A167:C167"/>
    <mergeCell ref="A193:D193"/>
    <mergeCell ref="A170:C170"/>
    <mergeCell ref="A171:C171"/>
    <mergeCell ref="A172:C172"/>
    <mergeCell ref="A176:E176"/>
    <mergeCell ref="A177:C177"/>
    <mergeCell ref="A178:C178"/>
    <mergeCell ref="A183:E183"/>
    <mergeCell ref="A184:C184"/>
    <mergeCell ref="A185:C185"/>
    <mergeCell ref="A186:C186"/>
    <mergeCell ref="A187:C187"/>
    <mergeCell ref="A179:C179"/>
    <mergeCell ref="A180:C180"/>
    <mergeCell ref="A190:F190"/>
    <mergeCell ref="A191:D191"/>
    <mergeCell ref="A192:D192"/>
    <mergeCell ref="A207:E207"/>
    <mergeCell ref="A194:D194"/>
    <mergeCell ref="A195:D195"/>
    <mergeCell ref="A196:D196"/>
    <mergeCell ref="A199:G199"/>
    <mergeCell ref="A200:E200"/>
    <mergeCell ref="A201:E201"/>
    <mergeCell ref="A202:E202"/>
    <mergeCell ref="A203:E203"/>
    <mergeCell ref="A204:E204"/>
    <mergeCell ref="A205:E205"/>
    <mergeCell ref="A206:E206"/>
    <mergeCell ref="A347:B347"/>
    <mergeCell ref="A358:C358"/>
    <mergeCell ref="A385:B385"/>
    <mergeCell ref="A211:D211"/>
    <mergeCell ref="A248:C248"/>
    <mergeCell ref="A275:B275"/>
    <mergeCell ref="A284:C284"/>
    <mergeCell ref="A311:B311"/>
    <mergeCell ref="A320:C320"/>
    <mergeCell ref="A394:L394"/>
    <mergeCell ref="A395:L395"/>
    <mergeCell ref="M395:P395"/>
    <mergeCell ref="A396:L396"/>
    <mergeCell ref="O396:O398"/>
    <mergeCell ref="P396:P398"/>
    <mergeCell ref="A397:L397"/>
    <mergeCell ref="A398:L398"/>
    <mergeCell ref="A399:L399"/>
    <mergeCell ref="O399:O412"/>
    <mergeCell ref="P399:P428"/>
    <mergeCell ref="A400:L400"/>
    <mergeCell ref="A422:L422"/>
    <mergeCell ref="A406:L406"/>
    <mergeCell ref="A407:L407"/>
    <mergeCell ref="A408:L408"/>
    <mergeCell ref="A409:L409"/>
    <mergeCell ref="A410:L410"/>
    <mergeCell ref="A401:L401"/>
    <mergeCell ref="A402:L402"/>
    <mergeCell ref="A403:L403"/>
    <mergeCell ref="A404:L404"/>
    <mergeCell ref="A405:L405"/>
    <mergeCell ref="A427:L427"/>
    <mergeCell ref="A428:L428"/>
    <mergeCell ref="A429:L429"/>
    <mergeCell ref="A411:L411"/>
    <mergeCell ref="A412:L412"/>
    <mergeCell ref="A413:L413"/>
    <mergeCell ref="O413:O426"/>
    <mergeCell ref="A414:L414"/>
    <mergeCell ref="A415:L415"/>
    <mergeCell ref="A416:L416"/>
    <mergeCell ref="A417:L417"/>
    <mergeCell ref="A418:L418"/>
    <mergeCell ref="A419:L419"/>
    <mergeCell ref="A420:L420"/>
    <mergeCell ref="A421:L421"/>
    <mergeCell ref="A423:L423"/>
    <mergeCell ref="A424:L424"/>
    <mergeCell ref="A425:L425"/>
    <mergeCell ref="A426:L426"/>
  </mergeCells>
  <conditionalFormatting sqref="N396:N428">
    <cfRule type="top10" dxfId="34" priority="8" rank="5"/>
  </conditionalFormatting>
  <conditionalFormatting sqref="C285:C310">
    <cfRule type="top10" dxfId="33" priority="5" rank="3"/>
  </conditionalFormatting>
  <conditionalFormatting sqref="C249:C274">
    <cfRule type="top10" dxfId="32" priority="4" rank="4"/>
  </conditionalFormatting>
  <conditionalFormatting sqref="C321:C346">
    <cfRule type="top10" dxfId="31" priority="3" rank="3"/>
  </conditionalFormatting>
  <conditionalFormatting sqref="C359:C384">
    <cfRule type="top10" dxfId="30" priority="2" rank="4"/>
  </conditionalFormatting>
  <conditionalFormatting sqref="C433:C455">
    <cfRule type="aboveAverage" dxfId="29" priority="55" stopIfTrue="1"/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horizontalDpi="4294967295" verticalDpi="4294967295" r:id="rId1"/>
  <headerFooter alignWithMargins="0">
    <oddHeader>&amp;L&amp;G&amp;C&amp;D&amp;R&amp;F</oddHeader>
  </headerFooter>
  <rowBreaks count="9" manualBreakCount="9">
    <brk id="15" max="16383" man="1"/>
    <brk id="62" max="16383" man="1"/>
    <brk id="86" max="16383" man="1"/>
    <brk id="139" max="16383" man="1"/>
    <brk id="174" max="16383" man="1"/>
    <brk id="209" max="16383" man="1"/>
    <brk id="246" max="16383" man="1"/>
    <brk id="282" max="16383" man="1"/>
    <brk id="318" max="16383" man="1"/>
  </rowBreaks>
  <drawing r:id="rId2"/>
  <legacy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W443"/>
  <sheetViews>
    <sheetView zoomScaleNormal="100" workbookViewId="0">
      <selection activeCell="A2" sqref="A2"/>
    </sheetView>
  </sheetViews>
  <sheetFormatPr defaultRowHeight="12.75" x14ac:dyDescent="0.2"/>
  <cols>
    <col min="1" max="1" width="5.7109375" style="27" customWidth="1"/>
    <col min="2" max="2" width="9.140625" style="27" customWidth="1"/>
    <col min="3" max="3" width="9.85546875" style="27" customWidth="1"/>
    <col min="4" max="4" width="9" style="27" customWidth="1"/>
    <col min="5" max="5" width="9.140625" style="27"/>
    <col min="6" max="6" width="9" style="27" customWidth="1"/>
    <col min="7" max="16" width="9.140625" style="27"/>
    <col min="17" max="17" width="66.5703125" style="27" customWidth="1"/>
    <col min="18" max="21" width="9.140625" style="27"/>
    <col min="22" max="22" width="7.28515625" style="27" customWidth="1"/>
    <col min="23" max="16384" width="9.140625" style="27"/>
  </cols>
  <sheetData>
    <row r="1" spans="1:11" ht="20.25" thickBot="1" x14ac:dyDescent="0.35">
      <c r="A1" s="215" t="s">
        <v>205</v>
      </c>
    </row>
    <row r="2" spans="1:11" ht="16.5" thickTop="1" thickBot="1" x14ac:dyDescent="0.3">
      <c r="A2" s="86" t="s">
        <v>136</v>
      </c>
      <c r="B2" s="85"/>
      <c r="C2" s="359" t="s">
        <v>135</v>
      </c>
      <c r="D2" s="341"/>
      <c r="E2" s="341"/>
      <c r="F2" s="341"/>
      <c r="G2" s="341"/>
      <c r="H2" s="341"/>
      <c r="I2" s="341"/>
      <c r="J2" s="341"/>
      <c r="K2" s="341"/>
    </row>
    <row r="3" spans="1:11" ht="13.5" thickTop="1" x14ac:dyDescent="0.2">
      <c r="A3" s="271" t="s">
        <v>80</v>
      </c>
      <c r="B3" s="272">
        <v>26</v>
      </c>
      <c r="C3" s="360" t="s">
        <v>202</v>
      </c>
      <c r="D3" s="360"/>
      <c r="E3" s="360"/>
      <c r="F3" s="360"/>
      <c r="G3" s="360"/>
      <c r="H3" s="360"/>
      <c r="I3" s="360"/>
      <c r="J3" s="360"/>
      <c r="K3" s="360"/>
    </row>
    <row r="4" spans="1:11" x14ac:dyDescent="0.2">
      <c r="A4" s="271" t="s">
        <v>83</v>
      </c>
      <c r="B4" s="272">
        <v>26</v>
      </c>
      <c r="C4" s="258" t="s">
        <v>202</v>
      </c>
      <c r="D4" s="258"/>
      <c r="E4" s="258"/>
      <c r="F4" s="258"/>
      <c r="G4" s="258"/>
      <c r="H4" s="258"/>
      <c r="I4" s="258"/>
      <c r="J4" s="258"/>
      <c r="K4" s="258"/>
    </row>
    <row r="5" spans="1:11" x14ac:dyDescent="0.2">
      <c r="A5" s="271" t="s">
        <v>84</v>
      </c>
      <c r="B5" s="272">
        <v>25</v>
      </c>
      <c r="C5" s="360" t="s">
        <v>206</v>
      </c>
      <c r="D5" s="360"/>
      <c r="E5" s="360"/>
      <c r="F5" s="360"/>
      <c r="G5" s="360"/>
      <c r="H5" s="360"/>
      <c r="I5" s="360"/>
      <c r="J5" s="360"/>
      <c r="K5" s="360"/>
    </row>
    <row r="6" spans="1:11" x14ac:dyDescent="0.2">
      <c r="A6" s="271" t="s">
        <v>32</v>
      </c>
      <c r="B6" s="272">
        <v>25</v>
      </c>
      <c r="C6" s="360" t="s">
        <v>206</v>
      </c>
      <c r="D6" s="360"/>
      <c r="E6" s="360"/>
      <c r="F6" s="360"/>
      <c r="G6" s="360"/>
      <c r="H6" s="360"/>
      <c r="I6" s="360"/>
      <c r="J6" s="360"/>
      <c r="K6" s="360"/>
    </row>
    <row r="7" spans="1:11" x14ac:dyDescent="0.2">
      <c r="A7" s="272" t="s">
        <v>4</v>
      </c>
      <c r="B7" s="272">
        <v>25</v>
      </c>
      <c r="C7" s="360" t="s">
        <v>206</v>
      </c>
      <c r="D7" s="360"/>
      <c r="E7" s="360"/>
      <c r="F7" s="360"/>
      <c r="G7" s="360"/>
      <c r="H7" s="360"/>
      <c r="I7" s="360"/>
      <c r="J7" s="360"/>
      <c r="K7" s="360"/>
    </row>
    <row r="8" spans="1:11" x14ac:dyDescent="0.2">
      <c r="A8" s="272" t="s">
        <v>5</v>
      </c>
      <c r="B8" s="272">
        <v>25</v>
      </c>
      <c r="C8" s="360" t="s">
        <v>206</v>
      </c>
      <c r="D8" s="360"/>
      <c r="E8" s="360"/>
      <c r="F8" s="360"/>
      <c r="G8" s="360"/>
      <c r="H8" s="360"/>
      <c r="I8" s="360"/>
      <c r="J8" s="360"/>
      <c r="K8" s="360"/>
    </row>
    <row r="9" spans="1:11" x14ac:dyDescent="0.2">
      <c r="A9" s="273" t="s">
        <v>6</v>
      </c>
      <c r="B9" s="271">
        <v>25</v>
      </c>
      <c r="C9" s="360" t="s">
        <v>140</v>
      </c>
      <c r="D9" s="360"/>
      <c r="E9" s="360"/>
      <c r="F9" s="360"/>
      <c r="G9" s="360"/>
      <c r="H9" s="360"/>
      <c r="I9" s="360"/>
      <c r="J9" s="360"/>
      <c r="K9" s="360"/>
    </row>
    <row r="10" spans="1:11" x14ac:dyDescent="0.2">
      <c r="A10" s="273" t="s">
        <v>7</v>
      </c>
      <c r="B10" s="271">
        <v>25</v>
      </c>
      <c r="C10" s="360" t="s">
        <v>140</v>
      </c>
      <c r="D10" s="360"/>
      <c r="E10" s="360"/>
      <c r="F10" s="360"/>
      <c r="G10" s="360"/>
      <c r="H10" s="360"/>
      <c r="I10" s="360"/>
      <c r="J10" s="360"/>
      <c r="K10" s="360"/>
    </row>
    <row r="11" spans="1:11" x14ac:dyDescent="0.2">
      <c r="A11" s="273" t="s">
        <v>8</v>
      </c>
      <c r="B11" s="272">
        <v>25</v>
      </c>
      <c r="C11" s="360" t="s">
        <v>206</v>
      </c>
      <c r="D11" s="360"/>
      <c r="E11" s="360"/>
      <c r="F11" s="360"/>
      <c r="G11" s="360"/>
      <c r="H11" s="360"/>
      <c r="I11" s="360"/>
      <c r="J11" s="360"/>
      <c r="K11" s="360"/>
    </row>
    <row r="12" spans="1:11" x14ac:dyDescent="0.2">
      <c r="A12" s="273" t="s">
        <v>9</v>
      </c>
      <c r="B12" s="272">
        <v>25</v>
      </c>
      <c r="C12" s="360" t="s">
        <v>206</v>
      </c>
      <c r="D12" s="360"/>
      <c r="E12" s="360"/>
      <c r="F12" s="360"/>
      <c r="G12" s="360"/>
      <c r="H12" s="360"/>
      <c r="I12" s="360"/>
      <c r="J12" s="360"/>
      <c r="K12" s="360"/>
    </row>
    <row r="13" spans="1:11" x14ac:dyDescent="0.2">
      <c r="A13" s="273" t="s">
        <v>10</v>
      </c>
      <c r="B13" s="272">
        <v>25</v>
      </c>
      <c r="C13" s="360" t="s">
        <v>206</v>
      </c>
      <c r="D13" s="360"/>
      <c r="E13" s="360"/>
      <c r="F13" s="360"/>
      <c r="G13" s="360"/>
      <c r="H13" s="360"/>
      <c r="I13" s="360"/>
      <c r="J13" s="360"/>
      <c r="K13" s="360"/>
    </row>
    <row r="14" spans="1:11" x14ac:dyDescent="0.2">
      <c r="A14" s="273" t="s">
        <v>12</v>
      </c>
      <c r="B14" s="272">
        <v>25</v>
      </c>
      <c r="C14" s="360" t="s">
        <v>206</v>
      </c>
      <c r="D14" s="360"/>
      <c r="E14" s="360"/>
      <c r="F14" s="360"/>
      <c r="G14" s="360"/>
      <c r="H14" s="360"/>
      <c r="I14" s="360"/>
      <c r="J14" s="360"/>
      <c r="K14" s="360"/>
    </row>
    <row r="17" spans="1:4" s="97" customFormat="1" ht="26.25" customHeight="1" x14ac:dyDescent="0.2">
      <c r="A17" s="351" t="s">
        <v>141</v>
      </c>
      <c r="B17" s="351"/>
      <c r="C17" s="351"/>
      <c r="D17" s="96"/>
    </row>
    <row r="18" spans="1:4" x14ac:dyDescent="0.2">
      <c r="A18" s="28" t="s">
        <v>80</v>
      </c>
      <c r="B18" s="29">
        <v>490</v>
      </c>
      <c r="C18" s="34">
        <f>B18/(B3*(B3-1))</f>
        <v>0.75384615384615383</v>
      </c>
      <c r="D18" s="33"/>
    </row>
    <row r="19" spans="1:4" x14ac:dyDescent="0.2">
      <c r="A19" s="31" t="s">
        <v>83</v>
      </c>
      <c r="B19" s="29">
        <v>498</v>
      </c>
      <c r="C19" s="34">
        <f t="shared" ref="C19:C29" si="0">B19/(B4*(B4-1))</f>
        <v>0.76615384615384619</v>
      </c>
      <c r="D19" s="33"/>
    </row>
    <row r="20" spans="1:4" x14ac:dyDescent="0.2">
      <c r="A20" s="31" t="s">
        <v>84</v>
      </c>
      <c r="B20" s="29">
        <v>502</v>
      </c>
      <c r="C20" s="34">
        <f t="shared" si="0"/>
        <v>0.83666666666666667</v>
      </c>
      <c r="D20" s="33"/>
    </row>
    <row r="21" spans="1:4" x14ac:dyDescent="0.2">
      <c r="A21" s="28" t="s">
        <v>32</v>
      </c>
      <c r="B21" s="29">
        <v>502</v>
      </c>
      <c r="C21" s="34">
        <f t="shared" si="0"/>
        <v>0.83666666666666667</v>
      </c>
      <c r="D21" s="33"/>
    </row>
    <row r="22" spans="1:4" x14ac:dyDescent="0.2">
      <c r="A22" s="31" t="s">
        <v>4</v>
      </c>
      <c r="B22" s="29">
        <v>501</v>
      </c>
      <c r="C22" s="34">
        <f t="shared" si="0"/>
        <v>0.83499999999999996</v>
      </c>
      <c r="D22" s="33"/>
    </row>
    <row r="23" spans="1:4" x14ac:dyDescent="0.2">
      <c r="A23" s="31" t="s">
        <v>5</v>
      </c>
      <c r="B23" s="29">
        <v>506</v>
      </c>
      <c r="C23" s="34">
        <f t="shared" si="0"/>
        <v>0.84333333333333338</v>
      </c>
      <c r="D23" s="33"/>
    </row>
    <row r="24" spans="1:4" x14ac:dyDescent="0.2">
      <c r="A24" s="32" t="s">
        <v>6</v>
      </c>
      <c r="B24" s="258">
        <v>504</v>
      </c>
      <c r="C24" s="34">
        <f t="shared" si="0"/>
        <v>0.84</v>
      </c>
      <c r="D24" s="33"/>
    </row>
    <row r="25" spans="1:4" x14ac:dyDescent="0.2">
      <c r="A25" s="32" t="s">
        <v>7</v>
      </c>
      <c r="B25" s="29">
        <v>503</v>
      </c>
      <c r="C25" s="34">
        <f t="shared" si="0"/>
        <v>0.83833333333333337</v>
      </c>
      <c r="D25" s="33"/>
    </row>
    <row r="26" spans="1:4" x14ac:dyDescent="0.2">
      <c r="A26" s="32" t="s">
        <v>8</v>
      </c>
      <c r="B26" s="29">
        <v>498</v>
      </c>
      <c r="C26" s="34">
        <f t="shared" si="0"/>
        <v>0.83</v>
      </c>
      <c r="D26" s="33"/>
    </row>
    <row r="27" spans="1:4" x14ac:dyDescent="0.2">
      <c r="A27" s="32" t="s">
        <v>9</v>
      </c>
      <c r="B27" s="29">
        <v>515</v>
      </c>
      <c r="C27" s="34">
        <f>B27/(B12*(B12-1))</f>
        <v>0.85833333333333328</v>
      </c>
    </row>
    <row r="28" spans="1:4" x14ac:dyDescent="0.2">
      <c r="A28" s="32" t="s">
        <v>10</v>
      </c>
      <c r="B28" s="29">
        <v>512</v>
      </c>
      <c r="C28" s="34">
        <f t="shared" si="0"/>
        <v>0.85333333333333339</v>
      </c>
    </row>
    <row r="29" spans="1:4" x14ac:dyDescent="0.2">
      <c r="A29" s="32" t="s">
        <v>12</v>
      </c>
      <c r="B29" s="35">
        <v>530</v>
      </c>
      <c r="C29" s="34">
        <f t="shared" si="0"/>
        <v>0.8833333333333333</v>
      </c>
    </row>
    <row r="31" spans="1:4" ht="15" x14ac:dyDescent="0.25">
      <c r="A31" s="256"/>
      <c r="B31" s="256"/>
      <c r="C31" s="256"/>
    </row>
    <row r="32" spans="1:4" ht="15" x14ac:dyDescent="0.25">
      <c r="A32" s="256"/>
      <c r="B32" s="256"/>
      <c r="C32" s="256"/>
    </row>
    <row r="33" spans="1:3" ht="15" x14ac:dyDescent="0.25">
      <c r="A33" s="256"/>
      <c r="B33" s="256"/>
      <c r="C33" s="256"/>
    </row>
    <row r="34" spans="1:3" ht="15" x14ac:dyDescent="0.25">
      <c r="A34" s="256"/>
      <c r="B34" s="256"/>
      <c r="C34" s="256"/>
    </row>
    <row r="35" spans="1:3" ht="15" x14ac:dyDescent="0.25">
      <c r="A35" s="256"/>
      <c r="B35" s="256"/>
      <c r="C35" s="256"/>
    </row>
    <row r="36" spans="1:3" ht="15" x14ac:dyDescent="0.25">
      <c r="A36" s="256"/>
      <c r="B36" s="256"/>
      <c r="C36" s="256"/>
    </row>
    <row r="37" spans="1:3" ht="15" x14ac:dyDescent="0.25">
      <c r="A37" s="256"/>
      <c r="B37" s="256"/>
      <c r="C37" s="256"/>
    </row>
    <row r="38" spans="1:3" ht="15" x14ac:dyDescent="0.25">
      <c r="A38" s="256"/>
      <c r="B38" s="256"/>
      <c r="C38" s="256"/>
    </row>
    <row r="39" spans="1:3" ht="15" x14ac:dyDescent="0.25">
      <c r="A39" s="256"/>
      <c r="B39" s="256"/>
      <c r="C39" s="256"/>
    </row>
    <row r="40" spans="1:3" ht="15" x14ac:dyDescent="0.25">
      <c r="A40" s="256"/>
      <c r="B40" s="256"/>
      <c r="C40" s="256"/>
    </row>
    <row r="41" spans="1:3" ht="15" x14ac:dyDescent="0.25">
      <c r="A41" s="256"/>
      <c r="B41" s="256"/>
      <c r="C41" s="256"/>
    </row>
    <row r="64" spans="1:2" x14ac:dyDescent="0.2">
      <c r="A64" s="352" t="s">
        <v>11</v>
      </c>
      <c r="B64" s="352"/>
    </row>
    <row r="65" spans="1:2" x14ac:dyDescent="0.2">
      <c r="A65" s="28" t="s">
        <v>80</v>
      </c>
      <c r="B65" s="36">
        <v>126445</v>
      </c>
    </row>
    <row r="66" spans="1:2" x14ac:dyDescent="0.2">
      <c r="A66" s="31" t="s">
        <v>83</v>
      </c>
      <c r="B66" s="36">
        <v>134030</v>
      </c>
    </row>
    <row r="67" spans="1:2" x14ac:dyDescent="0.2">
      <c r="A67" s="31" t="s">
        <v>84</v>
      </c>
      <c r="B67" s="13">
        <v>155191</v>
      </c>
    </row>
    <row r="68" spans="1:2" x14ac:dyDescent="0.2">
      <c r="A68" s="28" t="s">
        <v>32</v>
      </c>
      <c r="B68" s="36">
        <v>131834</v>
      </c>
    </row>
    <row r="69" spans="1:2" x14ac:dyDescent="0.2">
      <c r="A69" s="31" t="s">
        <v>4</v>
      </c>
      <c r="B69" s="36">
        <v>136449</v>
      </c>
    </row>
    <row r="70" spans="1:2" x14ac:dyDescent="0.2">
      <c r="A70" s="31" t="s">
        <v>5</v>
      </c>
      <c r="B70" s="36">
        <v>180097</v>
      </c>
    </row>
    <row r="71" spans="1:2" x14ac:dyDescent="0.2">
      <c r="A71" s="32" t="s">
        <v>6</v>
      </c>
      <c r="B71" s="257">
        <v>157407</v>
      </c>
    </row>
    <row r="72" spans="1:2" x14ac:dyDescent="0.2">
      <c r="A72" s="32" t="s">
        <v>7</v>
      </c>
      <c r="B72" s="36">
        <v>142606</v>
      </c>
    </row>
    <row r="73" spans="1:2" x14ac:dyDescent="0.2">
      <c r="A73" s="32" t="s">
        <v>8</v>
      </c>
      <c r="B73" s="36">
        <v>166770</v>
      </c>
    </row>
    <row r="74" spans="1:2" x14ac:dyDescent="0.2">
      <c r="A74" s="32" t="s">
        <v>9</v>
      </c>
      <c r="B74" s="36">
        <v>172912</v>
      </c>
    </row>
    <row r="75" spans="1:2" x14ac:dyDescent="0.2">
      <c r="A75" s="32" t="s">
        <v>10</v>
      </c>
      <c r="B75" s="36">
        <v>155113</v>
      </c>
    </row>
    <row r="76" spans="1:2" x14ac:dyDescent="0.2">
      <c r="A76" s="32" t="s">
        <v>12</v>
      </c>
      <c r="B76" s="37">
        <v>153076</v>
      </c>
    </row>
    <row r="77" spans="1:2" x14ac:dyDescent="0.2">
      <c r="A77" s="88" t="s">
        <v>91</v>
      </c>
      <c r="B77" s="274">
        <f>SUM(B65:B76)</f>
        <v>1811930</v>
      </c>
    </row>
    <row r="78" spans="1:2" x14ac:dyDescent="0.2">
      <c r="A78" s="38" t="s">
        <v>207</v>
      </c>
      <c r="B78" s="54">
        <f>AVERAGE(B65:B76)</f>
        <v>150994.16666666666</v>
      </c>
    </row>
    <row r="88" spans="1:4" x14ac:dyDescent="0.2">
      <c r="A88" s="309" t="s">
        <v>61</v>
      </c>
      <c r="B88" s="309"/>
      <c r="C88" s="309"/>
      <c r="D88" s="309"/>
    </row>
    <row r="89" spans="1:4" x14ac:dyDescent="0.2">
      <c r="A89" s="251"/>
      <c r="B89" s="251" t="s">
        <v>0</v>
      </c>
      <c r="C89" s="251" t="s">
        <v>1</v>
      </c>
      <c r="D89" s="253" t="s">
        <v>63</v>
      </c>
    </row>
    <row r="90" spans="1:4" x14ac:dyDescent="0.2">
      <c r="A90" s="28" t="s">
        <v>80</v>
      </c>
      <c r="B90" s="31">
        <v>31921</v>
      </c>
      <c r="C90" s="31">
        <v>21390</v>
      </c>
      <c r="D90" s="31">
        <f>342+1060+19059</f>
        <v>20461</v>
      </c>
    </row>
    <row r="91" spans="1:4" x14ac:dyDescent="0.2">
      <c r="A91" s="31" t="s">
        <v>83</v>
      </c>
      <c r="B91" s="31">
        <v>34312</v>
      </c>
      <c r="C91" s="31">
        <v>23269</v>
      </c>
      <c r="D91" s="31">
        <f>347+860+21074</f>
        <v>22281</v>
      </c>
    </row>
    <row r="92" spans="1:4" x14ac:dyDescent="0.2">
      <c r="A92" s="31" t="s">
        <v>84</v>
      </c>
      <c r="B92" s="31">
        <v>40367</v>
      </c>
      <c r="C92" s="31">
        <v>25296</v>
      </c>
      <c r="D92" s="31">
        <f>347+729+23394</f>
        <v>24470</v>
      </c>
    </row>
    <row r="93" spans="1:4" x14ac:dyDescent="0.2">
      <c r="A93" s="28" t="s">
        <v>32</v>
      </c>
      <c r="B93" s="31">
        <v>37470</v>
      </c>
      <c r="C93" s="31">
        <v>21427</v>
      </c>
      <c r="D93" s="31">
        <f>281+729+18164</f>
        <v>19174</v>
      </c>
    </row>
    <row r="94" spans="1:4" x14ac:dyDescent="0.2">
      <c r="A94" s="31" t="s">
        <v>4</v>
      </c>
      <c r="B94" s="31">
        <v>32389</v>
      </c>
      <c r="C94" s="31">
        <v>20593</v>
      </c>
      <c r="D94" s="31">
        <f>354+827+19564</f>
        <v>20745</v>
      </c>
    </row>
    <row r="95" spans="1:4" x14ac:dyDescent="0.2">
      <c r="A95" s="31" t="s">
        <v>5</v>
      </c>
      <c r="B95" s="31">
        <v>45917</v>
      </c>
      <c r="C95" s="31">
        <v>31326</v>
      </c>
      <c r="D95" s="31">
        <f>359+931+25539</f>
        <v>26829</v>
      </c>
    </row>
    <row r="96" spans="1:4" x14ac:dyDescent="0.2">
      <c r="A96" s="32" t="s">
        <v>6</v>
      </c>
      <c r="B96" s="31">
        <v>36200</v>
      </c>
      <c r="C96" s="31">
        <v>25583</v>
      </c>
      <c r="D96" s="31">
        <v>26090</v>
      </c>
    </row>
    <row r="97" spans="1:4" x14ac:dyDescent="0.2">
      <c r="A97" s="32" t="s">
        <v>7</v>
      </c>
      <c r="B97" s="31">
        <v>32014</v>
      </c>
      <c r="C97" s="31">
        <v>22572</v>
      </c>
      <c r="D97" s="31">
        <v>23276</v>
      </c>
    </row>
    <row r="98" spans="1:4" x14ac:dyDescent="0.2">
      <c r="A98" s="32" t="s">
        <v>8</v>
      </c>
      <c r="B98" s="31">
        <v>35973</v>
      </c>
      <c r="C98" s="31">
        <v>24605</v>
      </c>
      <c r="D98" s="31">
        <v>26279</v>
      </c>
    </row>
    <row r="99" spans="1:4" x14ac:dyDescent="0.2">
      <c r="A99" s="32" t="s">
        <v>9</v>
      </c>
      <c r="B99" s="31">
        <v>36563</v>
      </c>
      <c r="C99" s="31">
        <v>26847</v>
      </c>
      <c r="D99" s="31">
        <f>388+1690+26451</f>
        <v>28529</v>
      </c>
    </row>
    <row r="100" spans="1:4" x14ac:dyDescent="0.2">
      <c r="A100" s="32" t="s">
        <v>10</v>
      </c>
      <c r="B100" s="31">
        <v>33590</v>
      </c>
      <c r="C100" s="31">
        <v>27289</v>
      </c>
      <c r="D100" s="31">
        <v>26843</v>
      </c>
    </row>
    <row r="101" spans="1:4" x14ac:dyDescent="0.2">
      <c r="A101" s="32" t="s">
        <v>12</v>
      </c>
      <c r="B101" s="41">
        <v>34493</v>
      </c>
      <c r="C101" s="41">
        <v>26579</v>
      </c>
      <c r="D101" s="41">
        <v>25542</v>
      </c>
    </row>
    <row r="102" spans="1:4" x14ac:dyDescent="0.2">
      <c r="A102" s="42"/>
      <c r="B102" s="274">
        <f>SUM(B90:B101)</f>
        <v>431209</v>
      </c>
      <c r="C102" s="274">
        <f>SUM(C90:C101)</f>
        <v>296776</v>
      </c>
      <c r="D102" s="274">
        <f t="shared" ref="D102" si="1">SUM(D90:D101)</f>
        <v>290519</v>
      </c>
    </row>
    <row r="104" spans="1:4" x14ac:dyDescent="0.2">
      <c r="D104" s="259"/>
    </row>
    <row r="105" spans="1:4" x14ac:dyDescent="0.2">
      <c r="A105" s="27" t="s">
        <v>212</v>
      </c>
      <c r="B105" s="54">
        <f>AVERAGE(B90:B101)</f>
        <v>35934.083333333336</v>
      </c>
      <c r="C105" s="54">
        <f>AVERAGE(C90:C101)</f>
        <v>24731.333333333332</v>
      </c>
      <c r="D105" s="259"/>
    </row>
    <row r="106" spans="1:4" x14ac:dyDescent="0.2">
      <c r="D106" s="259"/>
    </row>
    <row r="107" spans="1:4" x14ac:dyDescent="0.2">
      <c r="D107" s="259"/>
    </row>
    <row r="108" spans="1:4" x14ac:dyDescent="0.2">
      <c r="D108" s="259"/>
    </row>
    <row r="109" spans="1:4" x14ac:dyDescent="0.2">
      <c r="D109" s="259"/>
    </row>
    <row r="110" spans="1:4" x14ac:dyDescent="0.2">
      <c r="D110" s="259"/>
    </row>
    <row r="111" spans="1:4" x14ac:dyDescent="0.2">
      <c r="D111" s="259"/>
    </row>
    <row r="112" spans="1:4" x14ac:dyDescent="0.2">
      <c r="D112" s="259"/>
    </row>
    <row r="140" spans="1:8" x14ac:dyDescent="0.2">
      <c r="E140" s="44"/>
    </row>
    <row r="141" spans="1:8" x14ac:dyDescent="0.2">
      <c r="A141" s="359" t="s">
        <v>37</v>
      </c>
      <c r="B141" s="341"/>
      <c r="C141" s="341"/>
      <c r="D141" s="341"/>
      <c r="E141" s="341"/>
      <c r="F141" s="341"/>
      <c r="G141" s="341"/>
      <c r="H141" s="27" t="s">
        <v>177</v>
      </c>
    </row>
    <row r="142" spans="1:8" x14ac:dyDescent="0.2">
      <c r="A142" s="209" t="s">
        <v>0</v>
      </c>
      <c r="B142" s="414" t="s">
        <v>38</v>
      </c>
      <c r="C142" s="415"/>
      <c r="D142" s="415"/>
      <c r="E142" s="416"/>
      <c r="F142" s="277">
        <v>431209</v>
      </c>
      <c r="G142" s="45">
        <f>F142/F154</f>
        <v>0.23798325542377466</v>
      </c>
    </row>
    <row r="143" spans="1:8" x14ac:dyDescent="0.2">
      <c r="A143" s="209" t="s">
        <v>39</v>
      </c>
      <c r="B143" s="414" t="s">
        <v>40</v>
      </c>
      <c r="C143" s="415"/>
      <c r="D143" s="415"/>
      <c r="E143" s="416"/>
      <c r="F143" s="277">
        <v>26459</v>
      </c>
      <c r="G143" s="45">
        <f>F143/F154</f>
        <v>1.4602661250710568E-2</v>
      </c>
    </row>
    <row r="144" spans="1:8" x14ac:dyDescent="0.2">
      <c r="A144" s="209" t="s">
        <v>41</v>
      </c>
      <c r="B144" s="414" t="s">
        <v>42</v>
      </c>
      <c r="C144" s="415"/>
      <c r="D144" s="415"/>
      <c r="E144" s="416"/>
      <c r="F144" s="277">
        <v>427600</v>
      </c>
      <c r="G144" s="45">
        <f>F144/F154</f>
        <v>0.23599145662360024</v>
      </c>
    </row>
    <row r="145" spans="1:23" x14ac:dyDescent="0.2">
      <c r="A145" s="32" t="s">
        <v>1</v>
      </c>
      <c r="B145" s="343" t="s">
        <v>43</v>
      </c>
      <c r="C145" s="344"/>
      <c r="D145" s="344"/>
      <c r="E145" s="345"/>
      <c r="F145" s="31">
        <v>296776</v>
      </c>
      <c r="G145" s="45">
        <f>F145/F154</f>
        <v>0.1637899918871038</v>
      </c>
    </row>
    <row r="146" spans="1:23" x14ac:dyDescent="0.2">
      <c r="A146" s="32" t="s">
        <v>44</v>
      </c>
      <c r="B146" s="343" t="s">
        <v>45</v>
      </c>
      <c r="C146" s="344"/>
      <c r="D146" s="344"/>
      <c r="E146" s="345"/>
      <c r="F146" s="31">
        <v>302193</v>
      </c>
      <c r="G146" s="45">
        <f>F146/F154</f>
        <v>0.16677962172931626</v>
      </c>
      <c r="U146" s="276"/>
      <c r="V146" s="276"/>
      <c r="W146" s="278"/>
    </row>
    <row r="147" spans="1:23" x14ac:dyDescent="0.2">
      <c r="A147" s="32" t="s">
        <v>46</v>
      </c>
      <c r="B147" s="343" t="s">
        <v>47</v>
      </c>
      <c r="C147" s="344"/>
      <c r="D147" s="344"/>
      <c r="E147" s="345"/>
      <c r="F147" s="31">
        <v>4371</v>
      </c>
      <c r="G147" s="45">
        <f>F147/F154</f>
        <v>2.4123448477590195E-3</v>
      </c>
      <c r="U147" s="276"/>
      <c r="V147" s="276"/>
      <c r="W147" s="278"/>
    </row>
    <row r="148" spans="1:23" x14ac:dyDescent="0.2">
      <c r="A148" s="32" t="s">
        <v>48</v>
      </c>
      <c r="B148" s="343" t="s">
        <v>49</v>
      </c>
      <c r="C148" s="344"/>
      <c r="D148" s="344"/>
      <c r="E148" s="345"/>
      <c r="F148" s="31">
        <v>14016</v>
      </c>
      <c r="G148" s="45">
        <f>F148/F154</f>
        <v>7.7353981665958397E-3</v>
      </c>
      <c r="U148" s="276"/>
      <c r="V148" s="276"/>
      <c r="W148" s="278"/>
    </row>
    <row r="149" spans="1:23" x14ac:dyDescent="0.2">
      <c r="A149" s="32" t="s">
        <v>50</v>
      </c>
      <c r="B149" s="343" t="s">
        <v>51</v>
      </c>
      <c r="C149" s="344"/>
      <c r="D149" s="344"/>
      <c r="E149" s="345"/>
      <c r="F149" s="31">
        <v>272132</v>
      </c>
      <c r="G149" s="45">
        <f>F149/F154</f>
        <v>0.150189024962333</v>
      </c>
    </row>
    <row r="150" spans="1:23" x14ac:dyDescent="0.2">
      <c r="A150" s="32" t="s">
        <v>52</v>
      </c>
      <c r="B150" s="343" t="s">
        <v>53</v>
      </c>
      <c r="C150" s="344"/>
      <c r="D150" s="344"/>
      <c r="E150" s="345"/>
      <c r="F150" s="31">
        <v>18163</v>
      </c>
      <c r="G150" s="45">
        <f>F150/F154</f>
        <v>1.0024117929500588E-2</v>
      </c>
    </row>
    <row r="151" spans="1:23" x14ac:dyDescent="0.2">
      <c r="A151" s="32" t="s">
        <v>54</v>
      </c>
      <c r="B151" s="343" t="s">
        <v>55</v>
      </c>
      <c r="C151" s="344"/>
      <c r="D151" s="344"/>
      <c r="E151" s="345"/>
      <c r="F151" s="31">
        <v>5695</v>
      </c>
      <c r="G151" s="45">
        <f>F151/F154</f>
        <v>3.1430574028798023E-3</v>
      </c>
    </row>
    <row r="152" spans="1:23" x14ac:dyDescent="0.2">
      <c r="A152" s="32" t="s">
        <v>56</v>
      </c>
      <c r="B152" s="346" t="s">
        <v>62</v>
      </c>
      <c r="C152" s="344"/>
      <c r="D152" s="344"/>
      <c r="E152" s="345"/>
      <c r="F152" s="31">
        <v>7576</v>
      </c>
      <c r="G152" s="45">
        <f>F152/F154</f>
        <v>4.1811769770355367E-3</v>
      </c>
    </row>
    <row r="153" spans="1:23" x14ac:dyDescent="0.2">
      <c r="A153" s="32" t="s">
        <v>57</v>
      </c>
      <c r="B153" s="343" t="s">
        <v>58</v>
      </c>
      <c r="C153" s="344"/>
      <c r="D153" s="344"/>
      <c r="E153" s="345"/>
      <c r="F153" s="31">
        <v>5740</v>
      </c>
      <c r="G153" s="45">
        <f>F153/F154</f>
        <v>3.1678927993907049E-3</v>
      </c>
    </row>
    <row r="154" spans="1:23" x14ac:dyDescent="0.2">
      <c r="A154" s="348"/>
      <c r="B154" s="349"/>
      <c r="C154" s="349"/>
      <c r="D154" s="349"/>
      <c r="E154" s="350"/>
      <c r="F154" s="43">
        <f>SUM(F142:F153)</f>
        <v>1811930</v>
      </c>
      <c r="G154" s="42"/>
      <c r="H154" s="54">
        <f>F154-B77</f>
        <v>0</v>
      </c>
    </row>
    <row r="164" spans="1:6" x14ac:dyDescent="0.2">
      <c r="A164" s="341" t="s">
        <v>69</v>
      </c>
      <c r="B164" s="341"/>
      <c r="C164" s="341"/>
      <c r="D164" s="341"/>
      <c r="E164" s="341"/>
      <c r="F164" s="38" t="s">
        <v>177</v>
      </c>
    </row>
    <row r="165" spans="1:6" x14ac:dyDescent="0.2">
      <c r="A165" s="358" t="s">
        <v>70</v>
      </c>
      <c r="B165" s="358"/>
      <c r="C165" s="358"/>
      <c r="D165" s="31">
        <v>320799</v>
      </c>
      <c r="E165" s="45">
        <f>D165/D167</f>
        <v>0.74401113237084715</v>
      </c>
    </row>
    <row r="166" spans="1:6" x14ac:dyDescent="0.2">
      <c r="A166" s="358" t="s">
        <v>71</v>
      </c>
      <c r="B166" s="358"/>
      <c r="C166" s="358"/>
      <c r="D166" s="31">
        <v>110376</v>
      </c>
      <c r="E166" s="45">
        <f>D166/D167</f>
        <v>0.25598886762915291</v>
      </c>
    </row>
    <row r="167" spans="1:6" x14ac:dyDescent="0.2">
      <c r="A167" s="342"/>
      <c r="B167" s="342"/>
      <c r="C167" s="342"/>
      <c r="D167" s="261">
        <f>SUM(D165:D166)</f>
        <v>431175</v>
      </c>
      <c r="E167" s="42"/>
      <c r="F167" s="54">
        <f>D167-F142</f>
        <v>-34</v>
      </c>
    </row>
    <row r="169" spans="1:6" x14ac:dyDescent="0.2">
      <c r="A169" s="341" t="s">
        <v>72</v>
      </c>
      <c r="B169" s="341"/>
      <c r="C169" s="341"/>
      <c r="D169" s="341"/>
      <c r="E169" s="341"/>
      <c r="F169" s="38" t="s">
        <v>177</v>
      </c>
    </row>
    <row r="170" spans="1:6" x14ac:dyDescent="0.2">
      <c r="A170" s="361" t="s">
        <v>73</v>
      </c>
      <c r="B170" s="362"/>
      <c r="C170" s="363"/>
      <c r="D170" s="46">
        <v>244604</v>
      </c>
      <c r="E170" s="47">
        <f>D170/D172</f>
        <v>0.84419855943288458</v>
      </c>
    </row>
    <row r="171" spans="1:6" x14ac:dyDescent="0.2">
      <c r="A171" s="361" t="s">
        <v>74</v>
      </c>
      <c r="B171" s="362"/>
      <c r="C171" s="363"/>
      <c r="D171" s="46">
        <v>45143</v>
      </c>
      <c r="E171" s="47">
        <f>D171/D172</f>
        <v>0.15580144056711545</v>
      </c>
    </row>
    <row r="172" spans="1:6" x14ac:dyDescent="0.2">
      <c r="A172" s="342"/>
      <c r="B172" s="342"/>
      <c r="C172" s="342"/>
      <c r="D172" s="261">
        <f>SUM(D170:D171)</f>
        <v>289747</v>
      </c>
      <c r="E172" s="42"/>
      <c r="F172" s="54">
        <f>D172-F145</f>
        <v>-7029</v>
      </c>
    </row>
    <row r="176" spans="1:6" x14ac:dyDescent="0.2">
      <c r="A176" s="341" t="s">
        <v>75</v>
      </c>
      <c r="B176" s="341"/>
      <c r="C176" s="341"/>
      <c r="D176" s="341"/>
      <c r="E176" s="341"/>
    </row>
    <row r="177" spans="1:6" x14ac:dyDescent="0.2">
      <c r="A177" s="361" t="s">
        <v>65</v>
      </c>
      <c r="B177" s="362"/>
      <c r="C177" s="363"/>
      <c r="D177" s="59">
        <f>D172-D178-D179</f>
        <v>261944</v>
      </c>
      <c r="E177" s="47">
        <f>D177/D180</f>
        <v>0.90404387275795783</v>
      </c>
    </row>
    <row r="178" spans="1:6" x14ac:dyDescent="0.2">
      <c r="A178" s="361" t="s">
        <v>76</v>
      </c>
      <c r="B178" s="362"/>
      <c r="C178" s="363"/>
      <c r="D178" s="59">
        <v>27704</v>
      </c>
      <c r="E178" s="47">
        <f>D178/D180</f>
        <v>9.5614449847625682E-2</v>
      </c>
    </row>
    <row r="179" spans="1:6" x14ac:dyDescent="0.2">
      <c r="A179" s="361" t="s">
        <v>64</v>
      </c>
      <c r="B179" s="362"/>
      <c r="C179" s="363"/>
      <c r="D179" s="59">
        <v>99</v>
      </c>
      <c r="E179" s="47">
        <f>D179/D180</f>
        <v>3.4167739441650822E-4</v>
      </c>
    </row>
    <row r="180" spans="1:6" x14ac:dyDescent="0.2">
      <c r="A180" s="342"/>
      <c r="B180" s="342"/>
      <c r="C180" s="342"/>
      <c r="D180" s="261">
        <f>SUM(D177:D179)</f>
        <v>289747</v>
      </c>
      <c r="E180" s="42"/>
    </row>
    <row r="183" spans="1:6" x14ac:dyDescent="0.2">
      <c r="A183" s="341" t="s">
        <v>176</v>
      </c>
      <c r="B183" s="341"/>
      <c r="C183" s="341"/>
      <c r="D183" s="341"/>
      <c r="E183" s="341"/>
    </row>
    <row r="184" spans="1:6" x14ac:dyDescent="0.2">
      <c r="A184" s="361" t="s">
        <v>65</v>
      </c>
      <c r="B184" s="362"/>
      <c r="C184" s="363"/>
      <c r="D184" s="59">
        <f>F149-D185-D186</f>
        <v>249197</v>
      </c>
      <c r="E184" s="47">
        <f>D184/D187</f>
        <v>0.91572104713888847</v>
      </c>
    </row>
    <row r="185" spans="1:6" x14ac:dyDescent="0.2">
      <c r="A185" s="361" t="s">
        <v>76</v>
      </c>
      <c r="B185" s="362"/>
      <c r="C185" s="363"/>
      <c r="D185" s="59">
        <v>22841</v>
      </c>
      <c r="E185" s="47">
        <f>D185/D187</f>
        <v>8.3933532256404986E-2</v>
      </c>
    </row>
    <row r="186" spans="1:6" x14ac:dyDescent="0.2">
      <c r="A186" s="361" t="s">
        <v>64</v>
      </c>
      <c r="B186" s="362"/>
      <c r="C186" s="363"/>
      <c r="D186" s="59">
        <v>94</v>
      </c>
      <c r="E186" s="47">
        <f>D186/D187</f>
        <v>3.4542060470653949E-4</v>
      </c>
    </row>
    <row r="187" spans="1:6" x14ac:dyDescent="0.2">
      <c r="A187" s="342"/>
      <c r="B187" s="342"/>
      <c r="C187" s="342"/>
      <c r="D187" s="48">
        <f>SUM(D184:D186)</f>
        <v>272132</v>
      </c>
      <c r="E187" s="42"/>
    </row>
    <row r="190" spans="1:6" x14ac:dyDescent="0.2">
      <c r="A190" s="357" t="s">
        <v>34</v>
      </c>
      <c r="B190" s="357"/>
      <c r="C190" s="357"/>
      <c r="D190" s="357"/>
      <c r="E190" s="357"/>
      <c r="F190" s="357"/>
    </row>
    <row r="191" spans="1:6" ht="13.5" customHeight="1" x14ac:dyDescent="0.2">
      <c r="A191" s="355" t="s">
        <v>87</v>
      </c>
      <c r="B191" s="355"/>
      <c r="C191" s="355"/>
      <c r="D191" s="355"/>
      <c r="E191" s="56">
        <v>1</v>
      </c>
      <c r="F191" s="45">
        <f>E191/E$196</f>
        <v>2.2025218875612576E-6</v>
      </c>
    </row>
    <row r="192" spans="1:6" ht="12.75" customHeight="1" x14ac:dyDescent="0.2">
      <c r="A192" s="355" t="s">
        <v>88</v>
      </c>
      <c r="B192" s="355"/>
      <c r="C192" s="355"/>
      <c r="D192" s="355"/>
      <c r="E192" s="56">
        <v>5995</v>
      </c>
      <c r="F192" s="45">
        <f t="shared" ref="F192:F195" si="2">E192/E$196</f>
        <v>1.320411871592974E-2</v>
      </c>
    </row>
    <row r="193" spans="1:7" ht="12.75" customHeight="1" x14ac:dyDescent="0.2">
      <c r="A193" s="355" t="s">
        <v>89</v>
      </c>
      <c r="B193" s="355"/>
      <c r="C193" s="355"/>
      <c r="D193" s="355"/>
      <c r="E193" s="56">
        <v>340</v>
      </c>
      <c r="F193" s="45">
        <f t="shared" si="2"/>
        <v>7.4885744177082762E-4</v>
      </c>
    </row>
    <row r="194" spans="1:7" ht="12.75" customHeight="1" x14ac:dyDescent="0.2">
      <c r="A194" s="355" t="s">
        <v>90</v>
      </c>
      <c r="B194" s="355"/>
      <c r="C194" s="355"/>
      <c r="D194" s="355"/>
      <c r="E194" s="56">
        <v>20089</v>
      </c>
      <c r="F194" s="45">
        <f t="shared" si="2"/>
        <v>4.4246462199218108E-2</v>
      </c>
    </row>
    <row r="195" spans="1:7" ht="13.5" customHeight="1" x14ac:dyDescent="0.2">
      <c r="A195" s="355" t="s">
        <v>86</v>
      </c>
      <c r="B195" s="355"/>
      <c r="C195" s="355"/>
      <c r="D195" s="355"/>
      <c r="E195" s="56">
        <v>427600</v>
      </c>
      <c r="F195" s="45">
        <f t="shared" si="2"/>
        <v>0.94179835912119381</v>
      </c>
    </row>
    <row r="196" spans="1:7" x14ac:dyDescent="0.2">
      <c r="A196" s="367" t="s">
        <v>91</v>
      </c>
      <c r="B196" s="367"/>
      <c r="C196" s="367"/>
      <c r="D196" s="367"/>
      <c r="E196" s="57">
        <f>SUM(E191:E195)</f>
        <v>454025</v>
      </c>
      <c r="F196" s="55"/>
    </row>
    <row r="199" spans="1:7" x14ac:dyDescent="0.2">
      <c r="A199" s="357" t="s">
        <v>35</v>
      </c>
      <c r="B199" s="357"/>
      <c r="C199" s="357"/>
      <c r="D199" s="357"/>
      <c r="E199" s="357"/>
      <c r="F199" s="357"/>
      <c r="G199" s="357"/>
    </row>
    <row r="200" spans="1:7" x14ac:dyDescent="0.2">
      <c r="A200" s="360" t="s">
        <v>78</v>
      </c>
      <c r="B200" s="360"/>
      <c r="C200" s="360"/>
      <c r="D200" s="360"/>
      <c r="E200" s="360"/>
      <c r="F200" s="32">
        <v>180128</v>
      </c>
      <c r="G200" s="45">
        <f>F200/F$207</f>
        <v>0.62002140995941746</v>
      </c>
    </row>
    <row r="201" spans="1:7" x14ac:dyDescent="0.2">
      <c r="A201" s="360" t="s">
        <v>79</v>
      </c>
      <c r="B201" s="360"/>
      <c r="C201" s="360"/>
      <c r="D201" s="360"/>
      <c r="E201" s="360"/>
      <c r="F201" s="32">
        <v>92004</v>
      </c>
      <c r="G201" s="45">
        <f t="shared" ref="G201:G206" si="3">F201/F$207</f>
        <v>0.31668840936393144</v>
      </c>
    </row>
    <row r="202" spans="1:7" x14ac:dyDescent="0.2">
      <c r="A202" s="360" t="s">
        <v>60</v>
      </c>
      <c r="B202" s="360"/>
      <c r="C202" s="360"/>
      <c r="D202" s="360"/>
      <c r="E202" s="360"/>
      <c r="F202" s="31">
        <v>4371</v>
      </c>
      <c r="G202" s="45">
        <f t="shared" si="3"/>
        <v>1.504548755847294E-2</v>
      </c>
    </row>
    <row r="203" spans="1:7" ht="15" x14ac:dyDescent="0.25">
      <c r="A203" s="360" t="s">
        <v>88</v>
      </c>
      <c r="B203" s="360"/>
      <c r="C203" s="360"/>
      <c r="D203" s="360"/>
      <c r="E203" s="360"/>
      <c r="F203" s="58">
        <v>4156</v>
      </c>
      <c r="G203" s="45">
        <f t="shared" si="3"/>
        <v>1.4305432691149289E-2</v>
      </c>
    </row>
    <row r="204" spans="1:7" ht="15" x14ac:dyDescent="0.25">
      <c r="A204" s="356" t="s">
        <v>89</v>
      </c>
      <c r="B204" s="356"/>
      <c r="C204" s="356"/>
      <c r="D204" s="356"/>
      <c r="E204" s="356"/>
      <c r="F204" s="58">
        <v>108</v>
      </c>
      <c r="G204" s="45">
        <f t="shared" si="3"/>
        <v>3.7174849149281116E-4</v>
      </c>
    </row>
    <row r="205" spans="1:7" ht="15" x14ac:dyDescent="0.25">
      <c r="A205" s="366" t="s">
        <v>92</v>
      </c>
      <c r="B205" s="366"/>
      <c r="C205" s="366"/>
      <c r="D205" s="366"/>
      <c r="E205" s="366"/>
      <c r="F205" s="58">
        <v>9751</v>
      </c>
      <c r="G205" s="45">
        <f t="shared" si="3"/>
        <v>3.3564069819874087E-2</v>
      </c>
    </row>
    <row r="206" spans="1:7" ht="15" x14ac:dyDescent="0.25">
      <c r="A206" s="346" t="s">
        <v>94</v>
      </c>
      <c r="B206" s="364"/>
      <c r="C206" s="364"/>
      <c r="D206" s="364"/>
      <c r="E206" s="365"/>
      <c r="F206" s="58">
        <v>1</v>
      </c>
      <c r="G206" s="45">
        <f t="shared" si="3"/>
        <v>3.4421156619704736E-6</v>
      </c>
    </row>
    <row r="207" spans="1:7" x14ac:dyDescent="0.2">
      <c r="A207" s="369"/>
      <c r="B207" s="369"/>
      <c r="C207" s="369"/>
      <c r="D207" s="369"/>
      <c r="E207" s="369"/>
      <c r="F207" s="57">
        <f>SUM(F200:F206)</f>
        <v>290519</v>
      </c>
      <c r="G207" s="55"/>
    </row>
    <row r="211" spans="1:4" x14ac:dyDescent="0.2">
      <c r="A211" s="308" t="s">
        <v>166</v>
      </c>
      <c r="B211" s="309"/>
      <c r="C211" s="309"/>
      <c r="D211" s="309"/>
    </row>
    <row r="212" spans="1:4" ht="15" x14ac:dyDescent="0.25">
      <c r="A212" s="252"/>
      <c r="B212" s="206" t="s">
        <v>99</v>
      </c>
      <c r="C212" s="207" t="s">
        <v>142</v>
      </c>
      <c r="D212" s="208" t="s">
        <v>101</v>
      </c>
    </row>
    <row r="213" spans="1:4" ht="15" x14ac:dyDescent="0.25">
      <c r="A213" s="230" t="s">
        <v>14</v>
      </c>
      <c r="B213" s="231">
        <v>24</v>
      </c>
      <c r="C213" s="232">
        <f t="shared" ref="C213:C239" si="4">B213/C$241</f>
        <v>0.96</v>
      </c>
      <c r="D213" s="233">
        <f t="shared" ref="D213:D239" si="5">B213/27</f>
        <v>0.88888888888888884</v>
      </c>
    </row>
    <row r="214" spans="1:4" ht="15" x14ac:dyDescent="0.25">
      <c r="A214" s="230" t="s">
        <v>15</v>
      </c>
      <c r="B214" s="231">
        <v>24</v>
      </c>
      <c r="C214" s="232">
        <f t="shared" si="4"/>
        <v>0.96</v>
      </c>
      <c r="D214" s="233">
        <f t="shared" si="5"/>
        <v>0.88888888888888884</v>
      </c>
    </row>
    <row r="215" spans="1:4" x14ac:dyDescent="0.2">
      <c r="A215" s="32" t="s">
        <v>16</v>
      </c>
      <c r="B215" s="36">
        <v>22</v>
      </c>
      <c r="C215" s="45">
        <f t="shared" si="4"/>
        <v>0.88</v>
      </c>
      <c r="D215" s="45">
        <f t="shared" si="5"/>
        <v>0.81481481481481477</v>
      </c>
    </row>
    <row r="216" spans="1:4" x14ac:dyDescent="0.2">
      <c r="A216" s="32" t="s">
        <v>85</v>
      </c>
      <c r="B216" s="36">
        <v>20</v>
      </c>
      <c r="C216" s="45">
        <f t="shared" si="4"/>
        <v>0.8</v>
      </c>
      <c r="D216" s="45">
        <f t="shared" si="5"/>
        <v>0.7407407407407407</v>
      </c>
    </row>
    <row r="217" spans="1:4" x14ac:dyDescent="0.2">
      <c r="A217" s="32" t="s">
        <v>17</v>
      </c>
      <c r="B217" s="36">
        <v>22</v>
      </c>
      <c r="C217" s="45">
        <f t="shared" si="4"/>
        <v>0.88</v>
      </c>
      <c r="D217" s="45">
        <f t="shared" si="5"/>
        <v>0.81481481481481477</v>
      </c>
    </row>
    <row r="218" spans="1:4" ht="15" x14ac:dyDescent="0.25">
      <c r="A218" s="230" t="s">
        <v>18</v>
      </c>
      <c r="B218" s="231">
        <v>24</v>
      </c>
      <c r="C218" s="232">
        <f t="shared" si="4"/>
        <v>0.96</v>
      </c>
      <c r="D218" s="233">
        <f t="shared" si="5"/>
        <v>0.88888888888888884</v>
      </c>
    </row>
    <row r="219" spans="1:4" x14ac:dyDescent="0.2">
      <c r="A219" s="32" t="s">
        <v>19</v>
      </c>
      <c r="B219" s="36">
        <v>23</v>
      </c>
      <c r="C219" s="45">
        <f t="shared" si="4"/>
        <v>0.92</v>
      </c>
      <c r="D219" s="45">
        <f t="shared" si="5"/>
        <v>0.85185185185185186</v>
      </c>
    </row>
    <row r="220" spans="1:4" x14ac:dyDescent="0.2">
      <c r="A220" s="32" t="s">
        <v>20</v>
      </c>
      <c r="B220" s="36">
        <v>22</v>
      </c>
      <c r="C220" s="45">
        <f t="shared" si="4"/>
        <v>0.88</v>
      </c>
      <c r="D220" s="45">
        <f t="shared" si="5"/>
        <v>0.81481481481481477</v>
      </c>
    </row>
    <row r="221" spans="1:4" ht="15" x14ac:dyDescent="0.25">
      <c r="A221" s="230" t="s">
        <v>21</v>
      </c>
      <c r="B221" s="234">
        <v>24</v>
      </c>
      <c r="C221" s="235">
        <f t="shared" si="4"/>
        <v>0.96</v>
      </c>
      <c r="D221" s="235">
        <f t="shared" si="5"/>
        <v>0.88888888888888884</v>
      </c>
    </row>
    <row r="222" spans="1:4" ht="15" x14ac:dyDescent="0.25">
      <c r="A222" s="230" t="s">
        <v>22</v>
      </c>
      <c r="B222" s="231">
        <v>24</v>
      </c>
      <c r="C222" s="232">
        <f t="shared" si="4"/>
        <v>0.96</v>
      </c>
      <c r="D222" s="233">
        <f t="shared" si="5"/>
        <v>0.88888888888888884</v>
      </c>
    </row>
    <row r="223" spans="1:4" ht="15" x14ac:dyDescent="0.25">
      <c r="A223" s="230" t="s">
        <v>23</v>
      </c>
      <c r="B223" s="234">
        <v>24</v>
      </c>
      <c r="C223" s="235">
        <f t="shared" si="4"/>
        <v>0.96</v>
      </c>
      <c r="D223" s="235">
        <f t="shared" si="5"/>
        <v>0.88888888888888884</v>
      </c>
    </row>
    <row r="224" spans="1:4" x14ac:dyDescent="0.2">
      <c r="A224" s="32" t="s">
        <v>24</v>
      </c>
      <c r="B224" s="36">
        <v>22</v>
      </c>
      <c r="C224" s="45">
        <f t="shared" si="4"/>
        <v>0.88</v>
      </c>
      <c r="D224" s="45">
        <f t="shared" si="5"/>
        <v>0.81481481481481477</v>
      </c>
    </row>
    <row r="225" spans="1:4" x14ac:dyDescent="0.2">
      <c r="A225" s="32" t="s">
        <v>25</v>
      </c>
      <c r="B225" s="36">
        <v>18</v>
      </c>
      <c r="C225" s="45">
        <f t="shared" si="4"/>
        <v>0.72</v>
      </c>
      <c r="D225" s="45">
        <f t="shared" si="5"/>
        <v>0.66666666666666663</v>
      </c>
    </row>
    <row r="226" spans="1:4" x14ac:dyDescent="0.2">
      <c r="A226" s="32" t="s">
        <v>95</v>
      </c>
      <c r="B226" s="36">
        <v>14</v>
      </c>
      <c r="C226" s="45">
        <f t="shared" si="4"/>
        <v>0.56000000000000005</v>
      </c>
      <c r="D226" s="45">
        <f t="shared" si="5"/>
        <v>0.51851851851851849</v>
      </c>
    </row>
    <row r="227" spans="1:4" x14ac:dyDescent="0.2">
      <c r="A227" s="32" t="s">
        <v>2</v>
      </c>
      <c r="B227" s="36">
        <v>20</v>
      </c>
      <c r="C227" s="45">
        <f t="shared" si="4"/>
        <v>0.8</v>
      </c>
      <c r="D227" s="45">
        <f t="shared" si="5"/>
        <v>0.7407407407407407</v>
      </c>
    </row>
    <row r="228" spans="1:4" x14ac:dyDescent="0.2">
      <c r="A228" s="32" t="s">
        <v>26</v>
      </c>
      <c r="B228" s="36">
        <v>23</v>
      </c>
      <c r="C228" s="45">
        <f t="shared" si="4"/>
        <v>0.92</v>
      </c>
      <c r="D228" s="45">
        <f t="shared" si="5"/>
        <v>0.85185185185185186</v>
      </c>
    </row>
    <row r="229" spans="1:4" x14ac:dyDescent="0.2">
      <c r="A229" s="32" t="s">
        <v>82</v>
      </c>
      <c r="B229" s="36">
        <v>23</v>
      </c>
      <c r="C229" s="45">
        <f t="shared" si="4"/>
        <v>0.92</v>
      </c>
      <c r="D229" s="45">
        <f t="shared" si="5"/>
        <v>0.85185185185185186</v>
      </c>
    </row>
    <row r="230" spans="1:4" x14ac:dyDescent="0.2">
      <c r="A230" s="32" t="s">
        <v>27</v>
      </c>
      <c r="B230" s="36">
        <v>22</v>
      </c>
      <c r="C230" s="45">
        <f t="shared" si="4"/>
        <v>0.88</v>
      </c>
      <c r="D230" s="45">
        <f t="shared" si="5"/>
        <v>0.81481481481481477</v>
      </c>
    </row>
    <row r="231" spans="1:4" x14ac:dyDescent="0.2">
      <c r="A231" s="32" t="s">
        <v>96</v>
      </c>
      <c r="B231" s="36">
        <v>21</v>
      </c>
      <c r="C231" s="45">
        <f t="shared" si="4"/>
        <v>0.84</v>
      </c>
      <c r="D231" s="45">
        <f t="shared" si="5"/>
        <v>0.77777777777777779</v>
      </c>
    </row>
    <row r="232" spans="1:4" ht="15" x14ac:dyDescent="0.25">
      <c r="A232" s="230" t="s">
        <v>28</v>
      </c>
      <c r="B232" s="231">
        <v>25</v>
      </c>
      <c r="C232" s="232">
        <f t="shared" si="4"/>
        <v>1</v>
      </c>
      <c r="D232" s="233">
        <f t="shared" si="5"/>
        <v>0.92592592592592593</v>
      </c>
    </row>
    <row r="233" spans="1:4" x14ac:dyDescent="0.2">
      <c r="A233" s="53" t="s">
        <v>201</v>
      </c>
      <c r="B233" s="36">
        <v>1</v>
      </c>
      <c r="C233" s="45">
        <f t="shared" si="4"/>
        <v>0.04</v>
      </c>
      <c r="D233" s="45">
        <f t="shared" ref="D233" si="6">B233/27</f>
        <v>3.7037037037037035E-2</v>
      </c>
    </row>
    <row r="234" spans="1:4" ht="15" x14ac:dyDescent="0.25">
      <c r="A234" s="230" t="s">
        <v>29</v>
      </c>
      <c r="B234" s="231">
        <v>24</v>
      </c>
      <c r="C234" s="232">
        <f t="shared" si="4"/>
        <v>0.96</v>
      </c>
      <c r="D234" s="233">
        <f t="shared" si="5"/>
        <v>0.88888888888888884</v>
      </c>
    </row>
    <row r="235" spans="1:4" ht="15" x14ac:dyDescent="0.25">
      <c r="A235" s="230" t="s">
        <v>30</v>
      </c>
      <c r="B235" s="231">
        <v>24</v>
      </c>
      <c r="C235" s="232">
        <f t="shared" si="4"/>
        <v>0.96</v>
      </c>
      <c r="D235" s="233">
        <f t="shared" si="5"/>
        <v>0.88888888888888884</v>
      </c>
    </row>
    <row r="236" spans="1:4" ht="15" x14ac:dyDescent="0.25">
      <c r="A236" s="230" t="s">
        <v>31</v>
      </c>
      <c r="B236" s="231">
        <v>24</v>
      </c>
      <c r="C236" s="232">
        <f t="shared" si="4"/>
        <v>0.96</v>
      </c>
      <c r="D236" s="233">
        <f t="shared" si="5"/>
        <v>0.88888888888888884</v>
      </c>
    </row>
    <row r="237" spans="1:4" ht="15" x14ac:dyDescent="0.25">
      <c r="A237" s="230" t="s">
        <v>98</v>
      </c>
      <c r="B237" s="231">
        <v>24</v>
      </c>
      <c r="C237" s="232">
        <f t="shared" si="4"/>
        <v>0.96</v>
      </c>
      <c r="D237" s="233">
        <f t="shared" si="5"/>
        <v>0.88888888888888884</v>
      </c>
    </row>
    <row r="238" spans="1:4" x14ac:dyDescent="0.2">
      <c r="A238" s="227" t="s">
        <v>175</v>
      </c>
      <c r="B238" s="228">
        <v>1</v>
      </c>
      <c r="C238" s="229">
        <f t="shared" si="4"/>
        <v>0.04</v>
      </c>
      <c r="D238" s="229">
        <f t="shared" si="5"/>
        <v>3.7037037037037035E-2</v>
      </c>
    </row>
    <row r="239" spans="1:4" x14ac:dyDescent="0.2">
      <c r="A239" s="32" t="s">
        <v>3</v>
      </c>
      <c r="B239" s="36">
        <v>19</v>
      </c>
      <c r="C239" s="45">
        <f t="shared" si="4"/>
        <v>0.76</v>
      </c>
      <c r="D239" s="45">
        <f t="shared" si="5"/>
        <v>0.70370370370370372</v>
      </c>
    </row>
    <row r="240" spans="1:4" x14ac:dyDescent="0.2">
      <c r="A240" s="90" t="s">
        <v>137</v>
      </c>
      <c r="B240" s="236">
        <f>SUM(B213:B239)</f>
        <v>558</v>
      </c>
      <c r="C240" s="154">
        <f>B240/(C241*(C241+1))</f>
        <v>0.8584615384615385</v>
      </c>
      <c r="D240" s="237">
        <f>B240/(28*27)</f>
        <v>0.73809523809523814</v>
      </c>
    </row>
    <row r="241" spans="1:4" ht="15" x14ac:dyDescent="0.25">
      <c r="A241" s="27" t="s">
        <v>93</v>
      </c>
      <c r="B241" s="239">
        <f>B240/25</f>
        <v>22.32</v>
      </c>
      <c r="C241" s="238">
        <v>25</v>
      </c>
      <c r="D241" s="201"/>
    </row>
    <row r="242" spans="1:4" x14ac:dyDescent="0.2">
      <c r="C242" s="250"/>
    </row>
    <row r="249" spans="1:4" x14ac:dyDescent="0.2">
      <c r="A249" s="308" t="s">
        <v>36</v>
      </c>
      <c r="B249" s="309"/>
      <c r="C249" s="309"/>
      <c r="D249"/>
    </row>
    <row r="250" spans="1:4" ht="12.75" customHeight="1" x14ac:dyDescent="0.25">
      <c r="A250" s="32" t="s">
        <v>14</v>
      </c>
      <c r="B250" s="214">
        <v>61449</v>
      </c>
      <c r="C250" s="51">
        <f t="shared" ref="C250:C276" si="7">B250/A$277</f>
        <v>3.3913561782188052E-2</v>
      </c>
      <c r="D250"/>
    </row>
    <row r="251" spans="1:4" ht="12.75" customHeight="1" x14ac:dyDescent="0.25">
      <c r="A251" s="32" t="s">
        <v>15</v>
      </c>
      <c r="B251" s="214">
        <v>63924</v>
      </c>
      <c r="C251" s="51">
        <f t="shared" si="7"/>
        <v>3.5279508590287702E-2</v>
      </c>
      <c r="D251"/>
    </row>
    <row r="252" spans="1:4" ht="12.75" customHeight="1" x14ac:dyDescent="0.25">
      <c r="A252" s="32" t="s">
        <v>16</v>
      </c>
      <c r="B252" s="214">
        <v>45707</v>
      </c>
      <c r="C252" s="51">
        <f t="shared" si="7"/>
        <v>2.5225588184974033E-2</v>
      </c>
      <c r="D252"/>
    </row>
    <row r="253" spans="1:4" ht="12.75" customHeight="1" x14ac:dyDescent="0.25">
      <c r="A253" s="32" t="s">
        <v>85</v>
      </c>
      <c r="B253" s="214">
        <v>6106</v>
      </c>
      <c r="C253" s="51">
        <f t="shared" si="7"/>
        <v>3.3698873576793807E-3</v>
      </c>
      <c r="D253"/>
    </row>
    <row r="254" spans="1:4" ht="12.75" customHeight="1" x14ac:dyDescent="0.25">
      <c r="A254" s="32" t="s">
        <v>17</v>
      </c>
      <c r="B254" s="214">
        <v>35527</v>
      </c>
      <c r="C254" s="51">
        <f t="shared" si="7"/>
        <v>1.960726959650759E-2</v>
      </c>
      <c r="D254"/>
    </row>
    <row r="255" spans="1:4" ht="12.75" customHeight="1" x14ac:dyDescent="0.25">
      <c r="A255" s="32" t="s">
        <v>18</v>
      </c>
      <c r="B255" s="214">
        <v>283446</v>
      </c>
      <c r="C255" s="51">
        <f t="shared" si="7"/>
        <v>0.15643319554287416</v>
      </c>
      <c r="D255"/>
    </row>
    <row r="256" spans="1:4" ht="12.75" customHeight="1" x14ac:dyDescent="0.25">
      <c r="A256" s="32" t="s">
        <v>19</v>
      </c>
      <c r="B256" s="214">
        <v>10411</v>
      </c>
      <c r="C256" s="51">
        <f t="shared" si="7"/>
        <v>5.745806957222409E-3</v>
      </c>
      <c r="D256"/>
    </row>
    <row r="257" spans="1:4" ht="12.75" customHeight="1" x14ac:dyDescent="0.25">
      <c r="A257" s="32" t="s">
        <v>20</v>
      </c>
      <c r="B257" s="214">
        <v>9504</v>
      </c>
      <c r="C257" s="51">
        <f t="shared" si="7"/>
        <v>5.2452357431026584E-3</v>
      </c>
      <c r="D257"/>
    </row>
    <row r="258" spans="1:4" ht="12.75" customHeight="1" x14ac:dyDescent="0.25">
      <c r="A258" s="32" t="s">
        <v>21</v>
      </c>
      <c r="B258" s="214">
        <v>82629</v>
      </c>
      <c r="C258" s="51">
        <f t="shared" si="7"/>
        <v>4.5602755073319609E-2</v>
      </c>
      <c r="D258"/>
    </row>
    <row r="259" spans="1:4" ht="12.75" customHeight="1" x14ac:dyDescent="0.25">
      <c r="A259" s="32" t="s">
        <v>22</v>
      </c>
      <c r="B259" s="214">
        <v>12354</v>
      </c>
      <c r="C259" s="51">
        <f t="shared" si="7"/>
        <v>6.8181441887931651E-3</v>
      </c>
      <c r="D259"/>
    </row>
    <row r="260" spans="1:4" ht="12.75" customHeight="1" x14ac:dyDescent="0.25">
      <c r="A260" s="32" t="s">
        <v>23</v>
      </c>
      <c r="B260" s="214">
        <v>99280</v>
      </c>
      <c r="C260" s="51">
        <f t="shared" si="7"/>
        <v>5.4792403680053864E-2</v>
      </c>
      <c r="D260"/>
    </row>
    <row r="261" spans="1:4" ht="12.75" customHeight="1" x14ac:dyDescent="0.25">
      <c r="A261" s="32" t="s">
        <v>24</v>
      </c>
      <c r="B261" s="214">
        <v>163103</v>
      </c>
      <c r="C261" s="51">
        <f t="shared" si="7"/>
        <v>9.0016170602617102E-2</v>
      </c>
      <c r="D261"/>
    </row>
    <row r="262" spans="1:4" ht="12.75" customHeight="1" x14ac:dyDescent="0.25">
      <c r="A262" s="32" t="s">
        <v>25</v>
      </c>
      <c r="B262" s="214">
        <v>7056</v>
      </c>
      <c r="C262" s="51">
        <f t="shared" si="7"/>
        <v>3.8941901729095496E-3</v>
      </c>
      <c r="D262"/>
    </row>
    <row r="263" spans="1:4" ht="12.75" customHeight="1" x14ac:dyDescent="0.25">
      <c r="A263" s="32" t="s">
        <v>95</v>
      </c>
      <c r="B263" s="214">
        <v>17841</v>
      </c>
      <c r="C263" s="51">
        <f t="shared" si="7"/>
        <v>9.8464068700225733E-3</v>
      </c>
      <c r="D263"/>
    </row>
    <row r="264" spans="1:4" ht="12.75" customHeight="1" x14ac:dyDescent="0.25">
      <c r="A264" s="32" t="s">
        <v>2</v>
      </c>
      <c r="B264" s="214">
        <v>22621</v>
      </c>
      <c r="C264" s="51">
        <f t="shared" si="7"/>
        <v>1.2484477877180686E-2</v>
      </c>
      <c r="D264"/>
    </row>
    <row r="265" spans="1:4" ht="12.75" customHeight="1" x14ac:dyDescent="0.25">
      <c r="A265" s="32" t="s">
        <v>26</v>
      </c>
      <c r="B265" s="214">
        <v>30312</v>
      </c>
      <c r="C265" s="51">
        <f t="shared" si="7"/>
        <v>1.6729123089744086E-2</v>
      </c>
      <c r="D265"/>
    </row>
    <row r="266" spans="1:4" ht="12.75" customHeight="1" x14ac:dyDescent="0.25">
      <c r="A266" s="32" t="s">
        <v>82</v>
      </c>
      <c r="B266" s="214">
        <v>147397</v>
      </c>
      <c r="C266" s="51">
        <f t="shared" si="7"/>
        <v>8.1348065322611796E-2</v>
      </c>
      <c r="D266"/>
    </row>
    <row r="267" spans="1:4" ht="12.75" customHeight="1" x14ac:dyDescent="0.25">
      <c r="A267" s="32" t="s">
        <v>27</v>
      </c>
      <c r="B267" s="214">
        <v>47289</v>
      </c>
      <c r="C267" s="51">
        <f t="shared" si="7"/>
        <v>2.6098690346757325E-2</v>
      </c>
      <c r="D267"/>
    </row>
    <row r="268" spans="1:4" ht="12.75" customHeight="1" x14ac:dyDescent="0.25">
      <c r="A268" s="32" t="s">
        <v>96</v>
      </c>
      <c r="B268" s="214">
        <v>14285</v>
      </c>
      <c r="C268" s="51">
        <f t="shared" si="7"/>
        <v>7.8838586479610135E-3</v>
      </c>
      <c r="D268"/>
    </row>
    <row r="269" spans="1:4" ht="12.75" customHeight="1" x14ac:dyDescent="0.25">
      <c r="A269" s="32" t="s">
        <v>28</v>
      </c>
      <c r="B269" s="214">
        <v>23235</v>
      </c>
      <c r="C269" s="51">
        <f t="shared" si="7"/>
        <v>1.2823343065129448E-2</v>
      </c>
      <c r="D269"/>
    </row>
    <row r="270" spans="1:4" ht="12.75" customHeight="1" x14ac:dyDescent="0.25">
      <c r="A270" s="53" t="s">
        <v>201</v>
      </c>
      <c r="B270" s="214">
        <v>2</v>
      </c>
      <c r="C270" s="51">
        <f t="shared" si="7"/>
        <v>1.1037954004845661E-6</v>
      </c>
      <c r="D270"/>
    </row>
    <row r="271" spans="1:4" ht="12.75" customHeight="1" x14ac:dyDescent="0.25">
      <c r="A271" s="32" t="s">
        <v>29</v>
      </c>
      <c r="B271" s="214">
        <v>63792</v>
      </c>
      <c r="C271" s="51">
        <f t="shared" si="7"/>
        <v>3.5206658093855724E-2</v>
      </c>
      <c r="D271"/>
    </row>
    <row r="272" spans="1:4" ht="12.75" customHeight="1" x14ac:dyDescent="0.25">
      <c r="A272" s="32" t="s">
        <v>30</v>
      </c>
      <c r="B272" s="214">
        <v>191597</v>
      </c>
      <c r="C272" s="51">
        <f t="shared" si="7"/>
        <v>0.10574194367332071</v>
      </c>
      <c r="D272"/>
    </row>
    <row r="273" spans="1:5" ht="12.75" customHeight="1" x14ac:dyDescent="0.25">
      <c r="A273" s="32" t="s">
        <v>31</v>
      </c>
      <c r="B273" s="214">
        <v>334481</v>
      </c>
      <c r="C273" s="51">
        <f t="shared" si="7"/>
        <v>0.1845992946747391</v>
      </c>
      <c r="D273"/>
    </row>
    <row r="274" spans="1:5" ht="12.75" customHeight="1" x14ac:dyDescent="0.25">
      <c r="A274" s="32" t="s">
        <v>98</v>
      </c>
      <c r="B274" s="214">
        <v>17658</v>
      </c>
      <c r="C274" s="51">
        <f t="shared" si="7"/>
        <v>9.7454095908782352E-3</v>
      </c>
      <c r="D274"/>
    </row>
    <row r="275" spans="1:5" ht="12.75" customHeight="1" x14ac:dyDescent="0.25">
      <c r="A275" s="32" t="s">
        <v>175</v>
      </c>
      <c r="B275" s="214">
        <v>0</v>
      </c>
      <c r="C275" s="51">
        <f t="shared" si="7"/>
        <v>0</v>
      </c>
    </row>
    <row r="276" spans="1:5" ht="12.75" customHeight="1" x14ac:dyDescent="0.25">
      <c r="A276" s="32" t="s">
        <v>3</v>
      </c>
      <c r="B276" s="214">
        <v>20924</v>
      </c>
      <c r="C276" s="51">
        <f t="shared" si="7"/>
        <v>1.1547907479869531E-2</v>
      </c>
      <c r="D276"/>
    </row>
    <row r="277" spans="1:5" x14ac:dyDescent="0.2">
      <c r="A277" s="310">
        <f>SUM(B250:B276)</f>
        <v>1811930</v>
      </c>
      <c r="B277" s="311"/>
      <c r="C277" s="42"/>
      <c r="D277"/>
    </row>
    <row r="278" spans="1:5" x14ac:dyDescent="0.2">
      <c r="D278"/>
    </row>
    <row r="286" spans="1:5" x14ac:dyDescent="0.2">
      <c r="A286" s="352" t="s">
        <v>66</v>
      </c>
      <c r="B286" s="352"/>
      <c r="C286" s="352"/>
      <c r="D286"/>
      <c r="E286"/>
    </row>
    <row r="287" spans="1:5" x14ac:dyDescent="0.2">
      <c r="A287" s="32" t="s">
        <v>14</v>
      </c>
      <c r="B287" s="49">
        <v>15136</v>
      </c>
      <c r="C287" s="51">
        <f t="shared" ref="C287:C313" si="8">B287/A$314</f>
        <v>3.5101308182343131E-2</v>
      </c>
      <c r="D287"/>
      <c r="E287"/>
    </row>
    <row r="288" spans="1:5" x14ac:dyDescent="0.2">
      <c r="A288" s="32" t="s">
        <v>15</v>
      </c>
      <c r="B288" s="36">
        <v>42172</v>
      </c>
      <c r="C288" s="51">
        <f t="shared" si="8"/>
        <v>9.7799442961533728E-2</v>
      </c>
      <c r="D288"/>
      <c r="E288"/>
    </row>
    <row r="289" spans="1:5" x14ac:dyDescent="0.2">
      <c r="A289" s="32" t="s">
        <v>16</v>
      </c>
      <c r="B289" s="36">
        <v>52</v>
      </c>
      <c r="C289" s="51">
        <f t="shared" si="8"/>
        <v>1.2059117504504776E-4</v>
      </c>
      <c r="D289"/>
      <c r="E289"/>
    </row>
    <row r="290" spans="1:5" x14ac:dyDescent="0.2">
      <c r="A290" s="53" t="s">
        <v>85</v>
      </c>
      <c r="B290" s="36">
        <v>3322</v>
      </c>
      <c r="C290" s="51">
        <f t="shared" si="8"/>
        <v>7.7039208365317054E-3</v>
      </c>
      <c r="D290"/>
      <c r="E290"/>
    </row>
    <row r="291" spans="1:5" x14ac:dyDescent="0.2">
      <c r="A291" s="32" t="s">
        <v>17</v>
      </c>
      <c r="B291" s="36">
        <v>2890</v>
      </c>
      <c r="C291" s="51">
        <f t="shared" si="8"/>
        <v>6.7020864592343852E-3</v>
      </c>
      <c r="D291"/>
      <c r="E291"/>
    </row>
    <row r="292" spans="1:5" x14ac:dyDescent="0.2">
      <c r="A292" s="32" t="s">
        <v>18</v>
      </c>
      <c r="B292" s="36">
        <v>118347</v>
      </c>
      <c r="C292" s="51">
        <f t="shared" si="8"/>
        <v>0.27445391909723593</v>
      </c>
      <c r="D292"/>
      <c r="E292"/>
    </row>
    <row r="293" spans="1:5" x14ac:dyDescent="0.2">
      <c r="A293" s="32" t="s">
        <v>19</v>
      </c>
      <c r="B293" s="36">
        <v>4132</v>
      </c>
      <c r="C293" s="51">
        <f t="shared" si="8"/>
        <v>9.5823602939641792E-3</v>
      </c>
      <c r="D293"/>
      <c r="E293"/>
    </row>
    <row r="294" spans="1:5" x14ac:dyDescent="0.2">
      <c r="A294" s="32" t="s">
        <v>20</v>
      </c>
      <c r="B294" s="36">
        <v>68</v>
      </c>
      <c r="C294" s="51">
        <f t="shared" si="8"/>
        <v>1.5769615198198554E-4</v>
      </c>
      <c r="D294"/>
      <c r="E294"/>
    </row>
    <row r="295" spans="1:5" x14ac:dyDescent="0.2">
      <c r="A295" s="32" t="s">
        <v>21</v>
      </c>
      <c r="B295" s="36">
        <v>41521</v>
      </c>
      <c r="C295" s="51">
        <f t="shared" si="8"/>
        <v>9.6289734212412076E-2</v>
      </c>
      <c r="D295"/>
      <c r="E295"/>
    </row>
    <row r="296" spans="1:5" x14ac:dyDescent="0.2">
      <c r="A296" s="32" t="s">
        <v>22</v>
      </c>
      <c r="B296" s="36">
        <v>3707</v>
      </c>
      <c r="C296" s="51">
        <f t="shared" si="8"/>
        <v>8.5967593440767695E-3</v>
      </c>
      <c r="D296"/>
      <c r="E296"/>
    </row>
    <row r="297" spans="1:5" x14ac:dyDescent="0.2">
      <c r="A297" s="32" t="s">
        <v>23</v>
      </c>
      <c r="B297" s="36">
        <v>33447</v>
      </c>
      <c r="C297" s="51">
        <f t="shared" si="8"/>
        <v>7.7565635225609858E-2</v>
      </c>
      <c r="D297"/>
      <c r="E297"/>
    </row>
    <row r="298" spans="1:5" x14ac:dyDescent="0.2">
      <c r="A298" s="32" t="s">
        <v>24</v>
      </c>
      <c r="B298" s="36">
        <v>39762</v>
      </c>
      <c r="C298" s="51">
        <f t="shared" si="8"/>
        <v>9.2210505810407475E-2</v>
      </c>
      <c r="D298"/>
      <c r="E298"/>
    </row>
    <row r="299" spans="1:5" x14ac:dyDescent="0.2">
      <c r="A299" s="32" t="s">
        <v>25</v>
      </c>
      <c r="B299" s="156"/>
      <c r="C299" s="51">
        <f t="shared" si="8"/>
        <v>0</v>
      </c>
      <c r="D299"/>
      <c r="E299"/>
    </row>
    <row r="300" spans="1:5" x14ac:dyDescent="0.2">
      <c r="A300" s="32" t="s">
        <v>95</v>
      </c>
      <c r="B300" s="36">
        <v>167</v>
      </c>
      <c r="C300" s="51">
        <f t="shared" si="8"/>
        <v>3.87283196779288E-4</v>
      </c>
      <c r="D300"/>
      <c r="E300"/>
    </row>
    <row r="301" spans="1:5" x14ac:dyDescent="0.2">
      <c r="A301" s="32" t="s">
        <v>2</v>
      </c>
      <c r="B301" s="36">
        <v>2705</v>
      </c>
      <c r="C301" s="51">
        <f t="shared" si="8"/>
        <v>6.2730601634010423E-3</v>
      </c>
      <c r="D301"/>
      <c r="E301"/>
    </row>
    <row r="302" spans="1:5" x14ac:dyDescent="0.2">
      <c r="A302" s="32" t="s">
        <v>26</v>
      </c>
      <c r="B302" s="36">
        <v>6724</v>
      </c>
      <c r="C302" s="51">
        <f t="shared" si="8"/>
        <v>1.5593366557748099E-2</v>
      </c>
      <c r="D302"/>
      <c r="E302"/>
    </row>
    <row r="303" spans="1:5" x14ac:dyDescent="0.2">
      <c r="A303" s="53" t="s">
        <v>82</v>
      </c>
      <c r="B303" s="36">
        <v>78653</v>
      </c>
      <c r="C303" s="51">
        <f t="shared" si="8"/>
        <v>0.18240110943881041</v>
      </c>
      <c r="D303"/>
      <c r="E303"/>
    </row>
    <row r="304" spans="1:5" x14ac:dyDescent="0.2">
      <c r="A304" s="32" t="s">
        <v>27</v>
      </c>
      <c r="B304" s="36">
        <v>210</v>
      </c>
      <c r="C304" s="51">
        <f t="shared" si="8"/>
        <v>4.8700282229730826E-4</v>
      </c>
      <c r="D304"/>
      <c r="E304"/>
    </row>
    <row r="305" spans="1:5" x14ac:dyDescent="0.2">
      <c r="A305" s="32" t="s">
        <v>96</v>
      </c>
      <c r="B305" s="36">
        <v>6440</v>
      </c>
      <c r="C305" s="51">
        <f t="shared" si="8"/>
        <v>1.4934753217117453E-2</v>
      </c>
      <c r="D305"/>
      <c r="E305"/>
    </row>
    <row r="306" spans="1:5" x14ac:dyDescent="0.2">
      <c r="A306" s="32" t="s">
        <v>28</v>
      </c>
      <c r="B306" s="36">
        <v>124</v>
      </c>
      <c r="C306" s="51">
        <f t="shared" si="8"/>
        <v>2.8756357126126774E-4</v>
      </c>
      <c r="D306"/>
      <c r="E306"/>
    </row>
    <row r="307" spans="1:5" x14ac:dyDescent="0.2">
      <c r="A307" s="53" t="s">
        <v>201</v>
      </c>
      <c r="B307" s="36">
        <v>2</v>
      </c>
      <c r="C307" s="51">
        <f t="shared" si="8"/>
        <v>4.6381221171172219E-6</v>
      </c>
      <c r="D307"/>
      <c r="E307"/>
    </row>
    <row r="308" spans="1:5" x14ac:dyDescent="0.2">
      <c r="A308" s="32" t="s">
        <v>29</v>
      </c>
      <c r="B308" s="36">
        <v>15676</v>
      </c>
      <c r="C308" s="51">
        <f t="shared" si="8"/>
        <v>3.6353601153964785E-2</v>
      </c>
      <c r="D308"/>
      <c r="E308"/>
    </row>
    <row r="309" spans="1:5" x14ac:dyDescent="0.2">
      <c r="A309" s="32" t="s">
        <v>30</v>
      </c>
      <c r="B309" s="36">
        <v>8983</v>
      </c>
      <c r="C309" s="51">
        <f t="shared" si="8"/>
        <v>2.0832125489032002E-2</v>
      </c>
      <c r="D309"/>
      <c r="E309"/>
    </row>
    <row r="310" spans="1:5" x14ac:dyDescent="0.2">
      <c r="A310" s="32" t="s">
        <v>31</v>
      </c>
      <c r="B310" s="209">
        <v>589</v>
      </c>
      <c r="C310" s="51">
        <f t="shared" si="8"/>
        <v>1.3659269634910217E-3</v>
      </c>
      <c r="D310"/>
      <c r="E310"/>
    </row>
    <row r="311" spans="1:5" x14ac:dyDescent="0.2">
      <c r="A311" s="53" t="s">
        <v>98</v>
      </c>
      <c r="B311" s="36">
        <v>6044</v>
      </c>
      <c r="C311" s="51">
        <f t="shared" si="8"/>
        <v>1.4016405037928243E-2</v>
      </c>
      <c r="D311"/>
      <c r="E311"/>
    </row>
    <row r="312" spans="1:5" ht="15" x14ac:dyDescent="0.25">
      <c r="A312" s="53" t="s">
        <v>175</v>
      </c>
      <c r="B312" s="255"/>
      <c r="C312" s="51">
        <f t="shared" si="8"/>
        <v>0</v>
      </c>
    </row>
    <row r="313" spans="1:5" x14ac:dyDescent="0.2">
      <c r="A313" s="32" t="s">
        <v>3</v>
      </c>
      <c r="B313" s="36">
        <v>336</v>
      </c>
      <c r="C313" s="51">
        <f t="shared" si="8"/>
        <v>7.7920451567569326E-4</v>
      </c>
      <c r="D313"/>
    </row>
    <row r="314" spans="1:5" x14ac:dyDescent="0.2">
      <c r="A314" s="412">
        <f>SUM(B287:B313)</f>
        <v>431209</v>
      </c>
      <c r="B314" s="412"/>
      <c r="C314" s="42"/>
      <c r="D314"/>
    </row>
    <row r="317" spans="1:5" ht="15" x14ac:dyDescent="0.25">
      <c r="D317" s="205"/>
    </row>
    <row r="318" spans="1:5" ht="15" x14ac:dyDescent="0.25">
      <c r="D318" s="204"/>
    </row>
    <row r="319" spans="1:5" ht="15" x14ac:dyDescent="0.25">
      <c r="D319" s="204"/>
    </row>
    <row r="320" spans="1:5" ht="15" x14ac:dyDescent="0.25">
      <c r="D320" s="204"/>
    </row>
    <row r="321" spans="1:5" ht="15" x14ac:dyDescent="0.25">
      <c r="D321" s="204"/>
    </row>
    <row r="322" spans="1:5" ht="15" x14ac:dyDescent="0.25">
      <c r="D322" s="204"/>
    </row>
    <row r="323" spans="1:5" x14ac:dyDescent="0.2">
      <c r="A323" s="308" t="s">
        <v>67</v>
      </c>
      <c r="B323" s="309"/>
      <c r="C323" s="309"/>
      <c r="D323"/>
      <c r="E323"/>
    </row>
    <row r="324" spans="1:5" x14ac:dyDescent="0.2">
      <c r="A324" s="32" t="s">
        <v>14</v>
      </c>
      <c r="B324" s="49">
        <v>24280</v>
      </c>
      <c r="C324" s="51">
        <f t="shared" ref="C324:C350" si="9">B324/A$351</f>
        <v>8.1812545488853541E-2</v>
      </c>
      <c r="D324"/>
      <c r="E324"/>
    </row>
    <row r="325" spans="1:5" x14ac:dyDescent="0.2">
      <c r="A325" s="32" t="s">
        <v>15</v>
      </c>
      <c r="B325" s="36">
        <v>2260</v>
      </c>
      <c r="C325" s="51">
        <f t="shared" si="9"/>
        <v>7.6151710380893333E-3</v>
      </c>
      <c r="D325"/>
      <c r="E325"/>
    </row>
    <row r="326" spans="1:5" x14ac:dyDescent="0.2">
      <c r="A326" s="32" t="s">
        <v>16</v>
      </c>
      <c r="B326" s="36">
        <v>58</v>
      </c>
      <c r="C326" s="51">
        <f t="shared" si="9"/>
        <v>1.9543359301291209E-4</v>
      </c>
      <c r="D326"/>
      <c r="E326"/>
    </row>
    <row r="327" spans="1:5" x14ac:dyDescent="0.2">
      <c r="A327" s="53" t="s">
        <v>85</v>
      </c>
      <c r="B327" s="36">
        <v>179</v>
      </c>
      <c r="C327" s="51">
        <f t="shared" si="9"/>
        <v>6.0314850257433216E-4</v>
      </c>
      <c r="D327"/>
      <c r="E327"/>
    </row>
    <row r="328" spans="1:5" x14ac:dyDescent="0.2">
      <c r="A328" s="32" t="s">
        <v>17</v>
      </c>
      <c r="B328" s="36">
        <v>9789</v>
      </c>
      <c r="C328" s="51">
        <f t="shared" si="9"/>
        <v>3.2984473137989592E-2</v>
      </c>
      <c r="D328"/>
      <c r="E328"/>
    </row>
    <row r="329" spans="1:5" x14ac:dyDescent="0.2">
      <c r="A329" s="32" t="s">
        <v>18</v>
      </c>
      <c r="B329" s="36">
        <v>118599</v>
      </c>
      <c r="C329" s="51">
        <f t="shared" si="9"/>
        <v>0.39962463271962695</v>
      </c>
      <c r="D329"/>
      <c r="E329"/>
    </row>
    <row r="330" spans="1:5" x14ac:dyDescent="0.2">
      <c r="A330" s="32" t="s">
        <v>19</v>
      </c>
      <c r="B330" s="36">
        <v>1567</v>
      </c>
      <c r="C330" s="51">
        <f t="shared" si="9"/>
        <v>5.2800765560557456E-3</v>
      </c>
      <c r="D330"/>
      <c r="E330"/>
    </row>
    <row r="331" spans="1:5" x14ac:dyDescent="0.2">
      <c r="A331" s="32" t="s">
        <v>20</v>
      </c>
      <c r="B331" s="36">
        <v>207</v>
      </c>
      <c r="C331" s="51">
        <f t="shared" si="9"/>
        <v>6.9749575437366902E-4</v>
      </c>
      <c r="D331"/>
      <c r="E331"/>
    </row>
    <row r="332" spans="1:5" x14ac:dyDescent="0.2">
      <c r="A332" s="32" t="s">
        <v>21</v>
      </c>
      <c r="B332" s="36">
        <v>11935</v>
      </c>
      <c r="C332" s="51">
        <f t="shared" si="9"/>
        <v>4.0215516079467342E-2</v>
      </c>
      <c r="D332"/>
      <c r="E332"/>
    </row>
    <row r="333" spans="1:5" x14ac:dyDescent="0.2">
      <c r="A333" s="32" t="s">
        <v>22</v>
      </c>
      <c r="B333" s="36">
        <v>3003</v>
      </c>
      <c r="C333" s="51">
        <f t="shared" si="9"/>
        <v>1.0118742755478879E-2</v>
      </c>
      <c r="D333"/>
      <c r="E333"/>
    </row>
    <row r="334" spans="1:5" x14ac:dyDescent="0.2">
      <c r="A334" s="32" t="s">
        <v>23</v>
      </c>
      <c r="B334" s="36">
        <v>13237</v>
      </c>
      <c r="C334" s="51">
        <f t="shared" si="9"/>
        <v>4.4602663288136508E-2</v>
      </c>
      <c r="D334"/>
      <c r="E334"/>
    </row>
    <row r="335" spans="1:5" x14ac:dyDescent="0.2">
      <c r="A335" s="32" t="s">
        <v>24</v>
      </c>
      <c r="B335" s="36">
        <v>87252</v>
      </c>
      <c r="C335" s="51">
        <f t="shared" si="9"/>
        <v>0.29399951478556219</v>
      </c>
      <c r="D335"/>
      <c r="E335"/>
    </row>
    <row r="336" spans="1:5" x14ac:dyDescent="0.2">
      <c r="A336" s="32" t="s">
        <v>25</v>
      </c>
      <c r="B336" s="156"/>
      <c r="C336" s="51">
        <f t="shared" si="9"/>
        <v>0</v>
      </c>
      <c r="D336"/>
      <c r="E336"/>
    </row>
    <row r="337" spans="1:5" x14ac:dyDescent="0.2">
      <c r="A337" s="32" t="s">
        <v>95</v>
      </c>
      <c r="B337" s="202">
        <v>237</v>
      </c>
      <c r="C337" s="51">
        <f t="shared" si="9"/>
        <v>7.9858209558724422E-4</v>
      </c>
      <c r="D337"/>
      <c r="E337"/>
    </row>
    <row r="338" spans="1:5" x14ac:dyDescent="0.2">
      <c r="A338" s="32" t="s">
        <v>2</v>
      </c>
      <c r="B338" s="36">
        <v>127</v>
      </c>
      <c r="C338" s="51">
        <f t="shared" si="9"/>
        <v>4.2793217780413508E-4</v>
      </c>
      <c r="D338"/>
      <c r="E338"/>
    </row>
    <row r="339" spans="1:5" x14ac:dyDescent="0.2">
      <c r="A339" s="32" t="s">
        <v>26</v>
      </c>
      <c r="B339" s="36">
        <v>863</v>
      </c>
      <c r="C339" s="51">
        <f t="shared" si="9"/>
        <v>2.907917082243847E-3</v>
      </c>
      <c r="D339"/>
      <c r="E339"/>
    </row>
    <row r="340" spans="1:5" x14ac:dyDescent="0.2">
      <c r="A340" s="53" t="s">
        <v>82</v>
      </c>
      <c r="B340" s="36">
        <v>49</v>
      </c>
      <c r="C340" s="51">
        <f t="shared" si="9"/>
        <v>1.6510769064883953E-4</v>
      </c>
      <c r="D340"/>
      <c r="E340"/>
    </row>
    <row r="341" spans="1:5" x14ac:dyDescent="0.2">
      <c r="A341" s="32" t="s">
        <v>27</v>
      </c>
      <c r="B341" s="36">
        <v>1275</v>
      </c>
      <c r="C341" s="51">
        <f t="shared" si="9"/>
        <v>4.2961695015769465E-3</v>
      </c>
      <c r="D341"/>
      <c r="E341"/>
    </row>
    <row r="342" spans="1:5" x14ac:dyDescent="0.2">
      <c r="A342" s="32" t="s">
        <v>96</v>
      </c>
      <c r="B342" s="36">
        <v>3990</v>
      </c>
      <c r="C342" s="51">
        <f t="shared" si="9"/>
        <v>1.3444483381405505E-2</v>
      </c>
      <c r="D342"/>
      <c r="E342"/>
    </row>
    <row r="343" spans="1:5" x14ac:dyDescent="0.2">
      <c r="A343" s="32" t="s">
        <v>28</v>
      </c>
      <c r="B343" s="36">
        <v>253</v>
      </c>
      <c r="C343" s="51">
        <f t="shared" si="9"/>
        <v>8.52494810901151E-4</v>
      </c>
      <c r="D343"/>
      <c r="E343"/>
    </row>
    <row r="344" spans="1:5" ht="12" customHeight="1" x14ac:dyDescent="0.25">
      <c r="A344" s="53" t="s">
        <v>201</v>
      </c>
      <c r="B344" s="254"/>
      <c r="C344" s="51">
        <f t="shared" si="9"/>
        <v>0</v>
      </c>
      <c r="D344"/>
      <c r="E344"/>
    </row>
    <row r="345" spans="1:5" x14ac:dyDescent="0.2">
      <c r="A345" s="32" t="s">
        <v>29</v>
      </c>
      <c r="B345" s="36">
        <v>7248</v>
      </c>
      <c r="C345" s="51">
        <f t="shared" si="9"/>
        <v>2.4422460037199775E-2</v>
      </c>
      <c r="D345"/>
      <c r="E345"/>
    </row>
    <row r="346" spans="1:5" x14ac:dyDescent="0.2">
      <c r="A346" s="32" t="s">
        <v>30</v>
      </c>
      <c r="B346" s="36">
        <v>6162</v>
      </c>
      <c r="C346" s="51">
        <f t="shared" si="9"/>
        <v>2.0763134485268349E-2</v>
      </c>
      <c r="D346"/>
      <c r="E346"/>
    </row>
    <row r="347" spans="1:5" x14ac:dyDescent="0.2">
      <c r="A347" s="32" t="s">
        <v>31</v>
      </c>
      <c r="B347" s="36">
        <v>881</v>
      </c>
      <c r="C347" s="51">
        <f t="shared" si="9"/>
        <v>2.9685688869719924E-3</v>
      </c>
      <c r="D347"/>
      <c r="E347"/>
    </row>
    <row r="348" spans="1:5" x14ac:dyDescent="0.2">
      <c r="A348" s="53" t="s">
        <v>98</v>
      </c>
      <c r="B348" s="36">
        <v>3224</v>
      </c>
      <c r="C348" s="51">
        <f t="shared" si="9"/>
        <v>1.0863412135752218E-2</v>
      </c>
      <c r="D348"/>
      <c r="E348"/>
    </row>
    <row r="349" spans="1:5" x14ac:dyDescent="0.2">
      <c r="A349" s="53" t="s">
        <v>175</v>
      </c>
      <c r="B349" s="156"/>
      <c r="C349" s="51">
        <f t="shared" si="9"/>
        <v>0</v>
      </c>
      <c r="D349"/>
      <c r="E349"/>
    </row>
    <row r="350" spans="1:5" ht="13.5" customHeight="1" x14ac:dyDescent="0.2">
      <c r="A350" s="32" t="s">
        <v>3</v>
      </c>
      <c r="B350" s="36">
        <v>101</v>
      </c>
      <c r="C350" s="51">
        <f t="shared" si="9"/>
        <v>3.4032401541903657E-4</v>
      </c>
      <c r="D350"/>
      <c r="E350"/>
    </row>
    <row r="351" spans="1:5" x14ac:dyDescent="0.2">
      <c r="A351" s="310">
        <f>SUM(B324:B350)</f>
        <v>296776</v>
      </c>
      <c r="B351" s="311"/>
      <c r="C351" s="42"/>
      <c r="D351"/>
      <c r="E351"/>
    </row>
    <row r="352" spans="1:5" x14ac:dyDescent="0.2">
      <c r="D352"/>
      <c r="E352"/>
    </row>
    <row r="353" spans="1:6" x14ac:dyDescent="0.2">
      <c r="D353"/>
      <c r="E353"/>
    </row>
    <row r="358" spans="1:6" ht="24.75" customHeight="1" x14ac:dyDescent="0.2">
      <c r="A358" s="353" t="s">
        <v>97</v>
      </c>
      <c r="B358" s="351"/>
      <c r="C358" s="351"/>
    </row>
    <row r="359" spans="1:6" x14ac:dyDescent="0.2">
      <c r="A359" s="32" t="s">
        <v>14</v>
      </c>
      <c r="B359" s="49">
        <v>8623</v>
      </c>
      <c r="C359" s="51">
        <f>B359/A$351</f>
        <v>2.9055584009488638E-2</v>
      </c>
    </row>
    <row r="360" spans="1:6" x14ac:dyDescent="0.2">
      <c r="A360" s="32" t="s">
        <v>15</v>
      </c>
      <c r="B360" s="36">
        <v>5961</v>
      </c>
      <c r="C360" s="51">
        <f t="shared" ref="C360:C385" si="10">B360/A$351</f>
        <v>2.0085855999137397E-2</v>
      </c>
    </row>
    <row r="361" spans="1:6" x14ac:dyDescent="0.2">
      <c r="A361" s="32" t="s">
        <v>16</v>
      </c>
      <c r="B361" s="36">
        <v>7162</v>
      </c>
      <c r="C361" s="51">
        <f t="shared" si="10"/>
        <v>2.4132679192387523E-2</v>
      </c>
      <c r="D361"/>
      <c r="E361"/>
    </row>
    <row r="362" spans="1:6" x14ac:dyDescent="0.2">
      <c r="A362" s="53" t="s">
        <v>85</v>
      </c>
      <c r="B362" s="36">
        <v>81</v>
      </c>
      <c r="C362" s="51">
        <f t="shared" si="10"/>
        <v>2.7293312127665311E-4</v>
      </c>
      <c r="D362"/>
      <c r="E362"/>
    </row>
    <row r="363" spans="1:6" x14ac:dyDescent="0.2">
      <c r="A363" s="32" t="s">
        <v>17</v>
      </c>
      <c r="B363" s="36">
        <v>7689</v>
      </c>
      <c r="C363" s="51">
        <f t="shared" si="10"/>
        <v>2.5908429253039329E-2</v>
      </c>
      <c r="D363"/>
      <c r="E363"/>
    </row>
    <row r="364" spans="1:6" x14ac:dyDescent="0.2">
      <c r="A364" s="32" t="s">
        <v>18</v>
      </c>
      <c r="B364" s="36">
        <v>21506</v>
      </c>
      <c r="C364" s="51">
        <f t="shared" si="10"/>
        <v>7.2465428471304952E-2</v>
      </c>
      <c r="D364"/>
      <c r="E364"/>
    </row>
    <row r="365" spans="1:6" x14ac:dyDescent="0.2">
      <c r="A365" s="32" t="s">
        <v>19</v>
      </c>
      <c r="B365" s="36">
        <v>1946</v>
      </c>
      <c r="C365" s="51">
        <f t="shared" si="10"/>
        <v>6.5571340000539127E-3</v>
      </c>
      <c r="D365"/>
      <c r="E365"/>
    </row>
    <row r="366" spans="1:6" x14ac:dyDescent="0.2">
      <c r="A366" s="32" t="s">
        <v>20</v>
      </c>
      <c r="B366" s="36">
        <v>2687</v>
      </c>
      <c r="C366" s="51">
        <f t="shared" si="10"/>
        <v>9.0539666280292207E-3</v>
      </c>
      <c r="D366"/>
      <c r="E366"/>
    </row>
    <row r="367" spans="1:6" x14ac:dyDescent="0.2">
      <c r="A367" s="32" t="s">
        <v>21</v>
      </c>
      <c r="B367" s="36">
        <v>8794</v>
      </c>
      <c r="C367" s="51">
        <f t="shared" si="10"/>
        <v>2.9631776154406018E-2</v>
      </c>
      <c r="D367"/>
      <c r="E367"/>
    </row>
    <row r="368" spans="1:6" ht="15" x14ac:dyDescent="0.25">
      <c r="A368" s="32" t="s">
        <v>22</v>
      </c>
      <c r="B368" s="36">
        <v>1397</v>
      </c>
      <c r="C368" s="51">
        <f t="shared" si="10"/>
        <v>4.7072539558454859E-3</v>
      </c>
      <c r="D368"/>
      <c r="E368"/>
      <c r="F368" s="205"/>
    </row>
    <row r="369" spans="1:6" ht="15" x14ac:dyDescent="0.25">
      <c r="A369" s="32" t="s">
        <v>23</v>
      </c>
      <c r="B369" s="36">
        <v>13594</v>
      </c>
      <c r="C369" s="51">
        <f t="shared" si="10"/>
        <v>4.5805590748578054E-2</v>
      </c>
      <c r="D369"/>
      <c r="E369"/>
      <c r="F369" s="204"/>
    </row>
    <row r="370" spans="1:6" ht="15" x14ac:dyDescent="0.25">
      <c r="A370" s="32" t="s">
        <v>24</v>
      </c>
      <c r="B370" s="36">
        <v>9304</v>
      </c>
      <c r="C370" s="51">
        <f t="shared" si="10"/>
        <v>3.1350243955036793E-2</v>
      </c>
      <c r="D370"/>
      <c r="E370"/>
      <c r="F370" s="204"/>
    </row>
    <row r="371" spans="1:6" ht="15" x14ac:dyDescent="0.25">
      <c r="A371" s="32" t="s">
        <v>25</v>
      </c>
      <c r="B371" s="36">
        <v>2842</v>
      </c>
      <c r="C371" s="51">
        <f t="shared" si="10"/>
        <v>9.5762460576326921E-3</v>
      </c>
      <c r="D371"/>
      <c r="E371"/>
      <c r="F371" s="204"/>
    </row>
    <row r="372" spans="1:6" ht="15" x14ac:dyDescent="0.25">
      <c r="A372" s="32" t="s">
        <v>95</v>
      </c>
      <c r="B372" s="36">
        <v>4640</v>
      </c>
      <c r="C372" s="51">
        <f t="shared" si="10"/>
        <v>1.5634687441032968E-2</v>
      </c>
      <c r="D372"/>
      <c r="E372"/>
      <c r="F372" s="204"/>
    </row>
    <row r="373" spans="1:6" ht="15" x14ac:dyDescent="0.25">
      <c r="A373" s="32" t="s">
        <v>2</v>
      </c>
      <c r="B373" s="36">
        <v>7311</v>
      </c>
      <c r="C373" s="51">
        <f t="shared" si="10"/>
        <v>2.4634741353748282E-2</v>
      </c>
      <c r="D373"/>
      <c r="E373"/>
      <c r="F373" s="204"/>
    </row>
    <row r="374" spans="1:6" ht="15" x14ac:dyDescent="0.25">
      <c r="A374" s="32" t="s">
        <v>26</v>
      </c>
      <c r="B374" s="36">
        <v>7064</v>
      </c>
      <c r="C374" s="51">
        <f t="shared" si="10"/>
        <v>2.3802463811089844E-2</v>
      </c>
      <c r="D374"/>
      <c r="E374"/>
      <c r="F374" s="204"/>
    </row>
    <row r="375" spans="1:6" ht="15" x14ac:dyDescent="0.25">
      <c r="A375" s="53" t="s">
        <v>82</v>
      </c>
      <c r="B375" s="36">
        <v>16709</v>
      </c>
      <c r="C375" s="51">
        <f t="shared" si="10"/>
        <v>5.630172251125428E-2</v>
      </c>
      <c r="D375"/>
      <c r="E375"/>
      <c r="F375" s="204"/>
    </row>
    <row r="376" spans="1:6" ht="15" x14ac:dyDescent="0.25">
      <c r="A376" s="32" t="s">
        <v>27</v>
      </c>
      <c r="B376" s="36">
        <v>13344</v>
      </c>
      <c r="C376" s="51">
        <f t="shared" si="10"/>
        <v>4.4963204571798261E-2</v>
      </c>
      <c r="D376"/>
      <c r="E376"/>
      <c r="F376" s="204"/>
    </row>
    <row r="377" spans="1:6" ht="15" x14ac:dyDescent="0.25">
      <c r="A377" s="32" t="s">
        <v>96</v>
      </c>
      <c r="B377" s="36">
        <v>1528</v>
      </c>
      <c r="C377" s="51">
        <f t="shared" si="10"/>
        <v>5.1486643124780979E-3</v>
      </c>
      <c r="D377"/>
      <c r="E377"/>
      <c r="F377" s="204"/>
    </row>
    <row r="378" spans="1:6" ht="15" x14ac:dyDescent="0.25">
      <c r="A378" s="32" t="s">
        <v>28</v>
      </c>
      <c r="B378" s="36">
        <v>7041</v>
      </c>
      <c r="C378" s="51">
        <f t="shared" si="10"/>
        <v>2.3724964282826104E-2</v>
      </c>
      <c r="D378"/>
      <c r="E378"/>
      <c r="F378" s="204"/>
    </row>
    <row r="379" spans="1:6" ht="15" x14ac:dyDescent="0.25">
      <c r="A379" s="53" t="s">
        <v>201</v>
      </c>
      <c r="B379" s="254"/>
      <c r="C379" s="51">
        <f t="shared" si="10"/>
        <v>0</v>
      </c>
      <c r="D379"/>
      <c r="E379"/>
      <c r="F379" s="204"/>
    </row>
    <row r="380" spans="1:6" ht="15" x14ac:dyDescent="0.25">
      <c r="A380" s="32" t="s">
        <v>29</v>
      </c>
      <c r="B380" s="36">
        <v>11339</v>
      </c>
      <c r="C380" s="51">
        <f t="shared" si="10"/>
        <v>3.8207267434024313E-2</v>
      </c>
      <c r="D380"/>
      <c r="E380"/>
      <c r="F380" s="204"/>
    </row>
    <row r="381" spans="1:6" ht="15" x14ac:dyDescent="0.25">
      <c r="A381" s="32" t="s">
        <v>30</v>
      </c>
      <c r="B381" s="36">
        <v>53467</v>
      </c>
      <c r="C381" s="51">
        <f t="shared" si="10"/>
        <v>0.18015944685554089</v>
      </c>
      <c r="D381"/>
      <c r="E381"/>
      <c r="F381" s="204"/>
    </row>
    <row r="382" spans="1:6" ht="15" x14ac:dyDescent="0.25">
      <c r="A382" s="32" t="s">
        <v>31</v>
      </c>
      <c r="B382" s="36">
        <v>49140</v>
      </c>
      <c r="C382" s="51">
        <f t="shared" si="10"/>
        <v>0.16557942690783622</v>
      </c>
      <c r="D382"/>
      <c r="E382"/>
      <c r="F382" s="204"/>
    </row>
    <row r="383" spans="1:6" ht="15" x14ac:dyDescent="0.25">
      <c r="A383" s="53" t="s">
        <v>98</v>
      </c>
      <c r="B383" s="36">
        <v>2631</v>
      </c>
      <c r="C383" s="51">
        <f t="shared" si="10"/>
        <v>8.8652721244305462E-3</v>
      </c>
      <c r="D383"/>
      <c r="E383"/>
      <c r="F383" s="204"/>
    </row>
    <row r="384" spans="1:6" ht="15" x14ac:dyDescent="0.25">
      <c r="A384" s="53" t="s">
        <v>175</v>
      </c>
      <c r="B384" s="254"/>
      <c r="C384" s="51">
        <f t="shared" si="10"/>
        <v>0</v>
      </c>
      <c r="F384" s="204"/>
    </row>
    <row r="385" spans="1:16" ht="15" x14ac:dyDescent="0.25">
      <c r="A385" s="32" t="s">
        <v>3</v>
      </c>
      <c r="B385" s="36">
        <v>6332</v>
      </c>
      <c r="C385" s="51">
        <f t="shared" si="10"/>
        <v>2.1335957085478609E-2</v>
      </c>
      <c r="D385"/>
      <c r="E385"/>
      <c r="F385" s="204"/>
    </row>
    <row r="386" spans="1:16" ht="15" x14ac:dyDescent="0.25">
      <c r="A386" s="310">
        <f>SUM(B359:B385)</f>
        <v>272132</v>
      </c>
      <c r="B386" s="311"/>
      <c r="C386" s="42"/>
      <c r="D386"/>
      <c r="E386"/>
      <c r="F386" s="204"/>
      <c r="G386" s="204"/>
      <c r="H386" s="204"/>
    </row>
    <row r="387" spans="1:16" ht="15" x14ac:dyDescent="0.25">
      <c r="D387"/>
      <c r="E387"/>
      <c r="F387" s="204"/>
      <c r="G387" s="204"/>
      <c r="H387" s="204"/>
    </row>
    <row r="388" spans="1:16" ht="15" x14ac:dyDescent="0.25">
      <c r="E388" s="204"/>
      <c r="F388" s="204"/>
      <c r="G388" s="204"/>
      <c r="H388" s="204"/>
    </row>
    <row r="389" spans="1:16" ht="15.75" thickBot="1" x14ac:dyDescent="0.3">
      <c r="A389" s="395" t="s">
        <v>104</v>
      </c>
      <c r="B389" s="395"/>
      <c r="C389" s="395"/>
      <c r="D389" s="395"/>
      <c r="E389" s="395"/>
      <c r="F389" s="395"/>
      <c r="G389" s="395"/>
      <c r="H389" s="395"/>
      <c r="I389" s="395"/>
      <c r="J389" s="395"/>
      <c r="K389" s="395"/>
      <c r="L389" s="395"/>
      <c r="M389" t="s">
        <v>146</v>
      </c>
      <c r="N389" s="126"/>
      <c r="O389"/>
      <c r="P389"/>
    </row>
    <row r="390" spans="1:16" ht="15.75" thickBot="1" x14ac:dyDescent="0.3">
      <c r="A390" s="396"/>
      <c r="B390" s="397"/>
      <c r="C390" s="397"/>
      <c r="D390" s="397"/>
      <c r="E390" s="397"/>
      <c r="F390" s="397"/>
      <c r="G390" s="397"/>
      <c r="H390" s="397"/>
      <c r="I390" s="397"/>
      <c r="J390" s="397"/>
      <c r="K390" s="397"/>
      <c r="L390" s="397"/>
      <c r="M390" s="398">
        <v>2015</v>
      </c>
      <c r="N390" s="399"/>
      <c r="O390" s="399"/>
      <c r="P390" s="400"/>
    </row>
    <row r="391" spans="1:16" ht="15" customHeight="1" x14ac:dyDescent="0.25">
      <c r="A391" s="383" t="s">
        <v>106</v>
      </c>
      <c r="B391" s="384"/>
      <c r="C391" s="384"/>
      <c r="D391" s="384"/>
      <c r="E391" s="384"/>
      <c r="F391" s="384"/>
      <c r="G391" s="384"/>
      <c r="H391" s="384"/>
      <c r="I391" s="384"/>
      <c r="J391" s="384"/>
      <c r="K391" s="384"/>
      <c r="L391" s="401"/>
      <c r="M391" s="116">
        <v>131941</v>
      </c>
      <c r="N391" s="117">
        <f t="shared" ref="N391:N396" si="11">M391/M$424</f>
        <v>0.45536623330008591</v>
      </c>
      <c r="O391" s="402">
        <f>SUM(N391:N393)</f>
        <v>0.84419855943288458</v>
      </c>
      <c r="P391" s="386">
        <f>O391</f>
        <v>0.84419855943288458</v>
      </c>
    </row>
    <row r="392" spans="1:16" ht="15" customHeight="1" x14ac:dyDescent="0.25">
      <c r="A392" s="389" t="s">
        <v>107</v>
      </c>
      <c r="B392" s="390"/>
      <c r="C392" s="390"/>
      <c r="D392" s="390"/>
      <c r="E392" s="390"/>
      <c r="F392" s="390"/>
      <c r="G392" s="390"/>
      <c r="H392" s="390"/>
      <c r="I392" s="390"/>
      <c r="J392" s="390"/>
      <c r="K392" s="390"/>
      <c r="L392" s="405"/>
      <c r="M392" s="109">
        <v>110978</v>
      </c>
      <c r="N392" s="108">
        <f t="shared" si="11"/>
        <v>0.38301690785409342</v>
      </c>
      <c r="O392" s="403"/>
      <c r="P392" s="387"/>
    </row>
    <row r="393" spans="1:16" ht="15.75" customHeight="1" thickBot="1" x14ac:dyDescent="0.3">
      <c r="A393" s="392" t="s">
        <v>108</v>
      </c>
      <c r="B393" s="393"/>
      <c r="C393" s="393"/>
      <c r="D393" s="393"/>
      <c r="E393" s="393"/>
      <c r="F393" s="393"/>
      <c r="G393" s="393"/>
      <c r="H393" s="393"/>
      <c r="I393" s="393"/>
      <c r="J393" s="393"/>
      <c r="K393" s="393"/>
      <c r="L393" s="406"/>
      <c r="M393" s="110">
        <v>1685</v>
      </c>
      <c r="N393" s="115">
        <f t="shared" si="11"/>
        <v>5.8154182787052153E-3</v>
      </c>
      <c r="O393" s="404"/>
      <c r="P393" s="388"/>
    </row>
    <row r="394" spans="1:16" ht="15" customHeight="1" x14ac:dyDescent="0.25">
      <c r="A394" s="383" t="s">
        <v>109</v>
      </c>
      <c r="B394" s="384"/>
      <c r="C394" s="384"/>
      <c r="D394" s="384"/>
      <c r="E394" s="384"/>
      <c r="F394" s="384"/>
      <c r="G394" s="384"/>
      <c r="H394" s="384"/>
      <c r="I394" s="384"/>
      <c r="J394" s="384"/>
      <c r="K394" s="384"/>
      <c r="L394" s="385"/>
      <c r="M394" s="134">
        <v>6710</v>
      </c>
      <c r="N394" s="117">
        <f t="shared" si="11"/>
        <v>2.3158134510452223E-2</v>
      </c>
      <c r="O394" s="386">
        <f>SUM(N394:N408)</f>
        <v>3.3342881893513997E-2</v>
      </c>
      <c r="P394" s="407">
        <f>SUM(O394:O423)</f>
        <v>0.15572896354405741</v>
      </c>
    </row>
    <row r="395" spans="1:16" ht="15" customHeight="1" x14ac:dyDescent="0.25">
      <c r="A395" s="389" t="s">
        <v>110</v>
      </c>
      <c r="B395" s="390"/>
      <c r="C395" s="390"/>
      <c r="D395" s="390"/>
      <c r="E395" s="390"/>
      <c r="F395" s="390"/>
      <c r="G395" s="390"/>
      <c r="H395" s="390"/>
      <c r="I395" s="390"/>
      <c r="J395" s="390"/>
      <c r="K395" s="390"/>
      <c r="L395" s="391"/>
      <c r="M395" s="135">
        <v>1995</v>
      </c>
      <c r="N395" s="108">
        <f t="shared" si="11"/>
        <v>6.8853171905144837E-3</v>
      </c>
      <c r="O395" s="387"/>
      <c r="P395" s="408"/>
    </row>
    <row r="396" spans="1:16" ht="15" customHeight="1" x14ac:dyDescent="0.25">
      <c r="A396" s="389" t="s">
        <v>111</v>
      </c>
      <c r="B396" s="390"/>
      <c r="C396" s="390"/>
      <c r="D396" s="390"/>
      <c r="E396" s="390"/>
      <c r="F396" s="390"/>
      <c r="G396" s="390"/>
      <c r="H396" s="390"/>
      <c r="I396" s="390"/>
      <c r="J396" s="390"/>
      <c r="K396" s="390"/>
      <c r="L396" s="391"/>
      <c r="M396" s="135">
        <v>27</v>
      </c>
      <c r="N396" s="108">
        <f t="shared" si="11"/>
        <v>9.3184743931774968E-5</v>
      </c>
      <c r="O396" s="387"/>
      <c r="P396" s="408"/>
    </row>
    <row r="397" spans="1:16" ht="15" customHeight="1" x14ac:dyDescent="0.25">
      <c r="A397" s="389" t="s">
        <v>204</v>
      </c>
      <c r="B397" s="390"/>
      <c r="C397" s="390"/>
      <c r="D397" s="390"/>
      <c r="E397" s="390"/>
      <c r="F397" s="390"/>
      <c r="G397" s="390"/>
      <c r="H397" s="390"/>
      <c r="I397" s="390"/>
      <c r="J397" s="390"/>
      <c r="K397" s="390"/>
      <c r="L397" s="391"/>
      <c r="M397" s="135">
        <v>21</v>
      </c>
      <c r="N397" s="108"/>
      <c r="O397" s="387"/>
      <c r="P397" s="408"/>
    </row>
    <row r="398" spans="1:16" ht="15" customHeight="1" x14ac:dyDescent="0.25">
      <c r="A398" s="389" t="s">
        <v>112</v>
      </c>
      <c r="B398" s="390"/>
      <c r="C398" s="390"/>
      <c r="D398" s="390"/>
      <c r="E398" s="390"/>
      <c r="F398" s="390"/>
      <c r="G398" s="390"/>
      <c r="H398" s="390"/>
      <c r="I398" s="390"/>
      <c r="J398" s="390"/>
      <c r="K398" s="390"/>
      <c r="L398" s="391"/>
      <c r="M398" s="135">
        <v>313</v>
      </c>
      <c r="N398" s="108">
        <f t="shared" ref="N398:N424" si="12">M398/M$424</f>
        <v>1.0802527722461319E-3</v>
      </c>
      <c r="O398" s="387"/>
      <c r="P398" s="408"/>
    </row>
    <row r="399" spans="1:16" ht="15" customHeight="1" x14ac:dyDescent="0.25">
      <c r="A399" s="389" t="s">
        <v>113</v>
      </c>
      <c r="B399" s="390"/>
      <c r="C399" s="390"/>
      <c r="D399" s="390"/>
      <c r="E399" s="390"/>
      <c r="F399" s="390"/>
      <c r="G399" s="390"/>
      <c r="H399" s="390"/>
      <c r="I399" s="390"/>
      <c r="J399" s="390"/>
      <c r="K399" s="390"/>
      <c r="L399" s="391"/>
      <c r="M399" s="135">
        <v>37</v>
      </c>
      <c r="N399" s="108">
        <f t="shared" si="12"/>
        <v>1.2769761205465457E-4</v>
      </c>
      <c r="O399" s="387"/>
      <c r="P399" s="408"/>
    </row>
    <row r="400" spans="1:16" ht="15" customHeight="1" x14ac:dyDescent="0.25">
      <c r="A400" s="389" t="s">
        <v>114</v>
      </c>
      <c r="B400" s="390"/>
      <c r="C400" s="390"/>
      <c r="D400" s="390"/>
      <c r="E400" s="390"/>
      <c r="F400" s="390"/>
      <c r="G400" s="390"/>
      <c r="H400" s="390"/>
      <c r="I400" s="390"/>
      <c r="J400" s="390"/>
      <c r="K400" s="390"/>
      <c r="L400" s="391"/>
      <c r="M400" s="135">
        <v>452</v>
      </c>
      <c r="N400" s="108">
        <f t="shared" si="12"/>
        <v>1.5599816391541586E-3</v>
      </c>
      <c r="O400" s="387"/>
      <c r="P400" s="408"/>
    </row>
    <row r="401" spans="1:16" ht="15" customHeight="1" x14ac:dyDescent="0.25">
      <c r="A401" s="389" t="s">
        <v>115</v>
      </c>
      <c r="B401" s="390"/>
      <c r="C401" s="390"/>
      <c r="D401" s="390"/>
      <c r="E401" s="390"/>
      <c r="F401" s="390"/>
      <c r="G401" s="390"/>
      <c r="H401" s="390"/>
      <c r="I401" s="390"/>
      <c r="J401" s="390"/>
      <c r="K401" s="390"/>
      <c r="L401" s="391"/>
      <c r="M401" s="135">
        <v>79</v>
      </c>
      <c r="N401" s="108">
        <f t="shared" si="12"/>
        <v>2.7265165817074897E-4</v>
      </c>
      <c r="O401" s="387"/>
      <c r="P401" s="408"/>
    </row>
    <row r="402" spans="1:16" ht="15" customHeight="1" x14ac:dyDescent="0.25">
      <c r="A402" s="389" t="s">
        <v>116</v>
      </c>
      <c r="B402" s="390"/>
      <c r="C402" s="390"/>
      <c r="D402" s="390"/>
      <c r="E402" s="390"/>
      <c r="F402" s="390"/>
      <c r="G402" s="390"/>
      <c r="H402" s="390"/>
      <c r="I402" s="390"/>
      <c r="J402" s="390"/>
      <c r="K402" s="390"/>
      <c r="L402" s="391"/>
      <c r="M402" s="135">
        <v>1</v>
      </c>
      <c r="N402" s="108">
        <f t="shared" si="12"/>
        <v>3.4512868122879615E-6</v>
      </c>
      <c r="O402" s="387"/>
      <c r="P402" s="408"/>
    </row>
    <row r="403" spans="1:16" ht="15" customHeight="1" x14ac:dyDescent="0.25">
      <c r="A403" s="296" t="s">
        <v>147</v>
      </c>
      <c r="B403" s="305"/>
      <c r="C403" s="305"/>
      <c r="D403" s="305"/>
      <c r="E403" s="305"/>
      <c r="F403" s="305"/>
      <c r="G403" s="305"/>
      <c r="H403" s="305"/>
      <c r="I403" s="305"/>
      <c r="J403" s="305"/>
      <c r="K403" s="305"/>
      <c r="L403" s="409"/>
      <c r="M403" s="127"/>
      <c r="N403" s="108">
        <f t="shared" si="12"/>
        <v>0</v>
      </c>
      <c r="O403" s="387"/>
      <c r="P403" s="408"/>
    </row>
    <row r="404" spans="1:16" ht="15" customHeight="1" x14ac:dyDescent="0.25">
      <c r="A404" s="389" t="s">
        <v>117</v>
      </c>
      <c r="B404" s="390"/>
      <c r="C404" s="390"/>
      <c r="D404" s="390"/>
      <c r="E404" s="390"/>
      <c r="F404" s="390"/>
      <c r="G404" s="390"/>
      <c r="H404" s="390"/>
      <c r="I404" s="390"/>
      <c r="J404" s="390"/>
      <c r="K404" s="390"/>
      <c r="L404" s="391"/>
      <c r="M404" s="135">
        <v>1</v>
      </c>
      <c r="N404" s="108">
        <f t="shared" si="12"/>
        <v>3.4512868122879615E-6</v>
      </c>
      <c r="O404" s="387"/>
      <c r="P404" s="408"/>
    </row>
    <row r="405" spans="1:16" ht="15" customHeight="1" x14ac:dyDescent="0.25">
      <c r="A405" s="389" t="s">
        <v>118</v>
      </c>
      <c r="B405" s="390"/>
      <c r="C405" s="390"/>
      <c r="D405" s="390"/>
      <c r="E405" s="390"/>
      <c r="F405" s="390"/>
      <c r="G405" s="390"/>
      <c r="H405" s="390"/>
      <c r="I405" s="390"/>
      <c r="J405" s="390"/>
      <c r="K405" s="390"/>
      <c r="L405" s="391"/>
      <c r="M405" s="135">
        <v>28</v>
      </c>
      <c r="N405" s="108">
        <f t="shared" si="12"/>
        <v>9.6636030744062923E-5</v>
      </c>
      <c r="O405" s="387"/>
      <c r="P405" s="408"/>
    </row>
    <row r="406" spans="1:16" ht="15" customHeight="1" x14ac:dyDescent="0.25">
      <c r="A406" s="389" t="s">
        <v>119</v>
      </c>
      <c r="B406" s="390"/>
      <c r="C406" s="390"/>
      <c r="D406" s="390"/>
      <c r="E406" s="390"/>
      <c r="F406" s="390"/>
      <c r="G406" s="390"/>
      <c r="H406" s="390"/>
      <c r="I406" s="390"/>
      <c r="J406" s="390"/>
      <c r="K406" s="390"/>
      <c r="L406" s="391"/>
      <c r="M406" s="135">
        <v>6</v>
      </c>
      <c r="N406" s="108">
        <f t="shared" si="12"/>
        <v>2.070772087372777E-5</v>
      </c>
      <c r="O406" s="387"/>
      <c r="P406" s="408"/>
    </row>
    <row r="407" spans="1:16" ht="15" customHeight="1" x14ac:dyDescent="0.25">
      <c r="A407" s="290" t="s">
        <v>144</v>
      </c>
      <c r="B407" s="291"/>
      <c r="C407" s="291"/>
      <c r="D407" s="291"/>
      <c r="E407" s="291"/>
      <c r="F407" s="291"/>
      <c r="G407" s="291"/>
      <c r="H407" s="291"/>
      <c r="I407" s="291"/>
      <c r="J407" s="291"/>
      <c r="K407" s="291"/>
      <c r="L407" s="379"/>
      <c r="M407" s="127"/>
      <c r="N407" s="108">
        <f t="shared" si="12"/>
        <v>0</v>
      </c>
      <c r="O407" s="387"/>
      <c r="P407" s="408"/>
    </row>
    <row r="408" spans="1:16" ht="15.75" customHeight="1" thickBot="1" x14ac:dyDescent="0.3">
      <c r="A408" s="380" t="s">
        <v>145</v>
      </c>
      <c r="B408" s="381"/>
      <c r="C408" s="381"/>
      <c r="D408" s="381"/>
      <c r="E408" s="381"/>
      <c r="F408" s="381"/>
      <c r="G408" s="381"/>
      <c r="H408" s="381"/>
      <c r="I408" s="381"/>
      <c r="J408" s="381"/>
      <c r="K408" s="381"/>
      <c r="L408" s="382"/>
      <c r="M408" s="136">
        <v>12</v>
      </c>
      <c r="N408" s="115">
        <f t="shared" si="12"/>
        <v>4.1415441747455539E-5</v>
      </c>
      <c r="O408" s="388"/>
      <c r="P408" s="408"/>
    </row>
    <row r="409" spans="1:16" ht="15" customHeight="1" x14ac:dyDescent="0.25">
      <c r="A409" s="383" t="s">
        <v>120</v>
      </c>
      <c r="B409" s="384"/>
      <c r="C409" s="384"/>
      <c r="D409" s="384"/>
      <c r="E409" s="384"/>
      <c r="F409" s="384"/>
      <c r="G409" s="384"/>
      <c r="H409" s="384"/>
      <c r="I409" s="384"/>
      <c r="J409" s="384"/>
      <c r="K409" s="384"/>
      <c r="L409" s="385"/>
      <c r="M409" s="134">
        <v>59</v>
      </c>
      <c r="N409" s="117">
        <f t="shared" si="12"/>
        <v>2.0362592192498972E-4</v>
      </c>
      <c r="O409" s="386">
        <f>SUM(N409:N422)</f>
        <v>1.8899246584088876E-2</v>
      </c>
      <c r="P409" s="408"/>
    </row>
    <row r="410" spans="1:16" ht="15" customHeight="1" x14ac:dyDescent="0.25">
      <c r="A410" s="389" t="s">
        <v>121</v>
      </c>
      <c r="B410" s="390"/>
      <c r="C410" s="390"/>
      <c r="D410" s="390"/>
      <c r="E410" s="390"/>
      <c r="F410" s="390"/>
      <c r="G410" s="390"/>
      <c r="H410" s="390"/>
      <c r="I410" s="390"/>
      <c r="J410" s="390"/>
      <c r="K410" s="390"/>
      <c r="L410" s="391"/>
      <c r="M410" s="135">
        <v>523</v>
      </c>
      <c r="N410" s="108">
        <f t="shared" si="12"/>
        <v>1.805023002826604E-3</v>
      </c>
      <c r="O410" s="387"/>
      <c r="P410" s="408"/>
    </row>
    <row r="411" spans="1:16" ht="15" customHeight="1" x14ac:dyDescent="0.25">
      <c r="A411" s="389" t="s">
        <v>122</v>
      </c>
      <c r="B411" s="390"/>
      <c r="C411" s="390"/>
      <c r="D411" s="390"/>
      <c r="E411" s="390"/>
      <c r="F411" s="390"/>
      <c r="G411" s="390"/>
      <c r="H411" s="390"/>
      <c r="I411" s="390"/>
      <c r="J411" s="390"/>
      <c r="K411" s="390"/>
      <c r="L411" s="391"/>
      <c r="M411" s="135">
        <v>2</v>
      </c>
      <c r="N411" s="108">
        <f t="shared" si="12"/>
        <v>6.9025736245759229E-6</v>
      </c>
      <c r="O411" s="387"/>
      <c r="P411" s="408"/>
    </row>
    <row r="412" spans="1:16" ht="15" customHeight="1" x14ac:dyDescent="0.25">
      <c r="A412" s="389" t="s">
        <v>123</v>
      </c>
      <c r="B412" s="390"/>
      <c r="C412" s="390"/>
      <c r="D412" s="390"/>
      <c r="E412" s="390"/>
      <c r="F412" s="390"/>
      <c r="G412" s="390"/>
      <c r="H412" s="390"/>
      <c r="I412" s="390"/>
      <c r="J412" s="390"/>
      <c r="K412" s="390"/>
      <c r="L412" s="391"/>
      <c r="M412" s="135">
        <v>254</v>
      </c>
      <c r="N412" s="108">
        <f t="shared" si="12"/>
        <v>8.766268503211422E-4</v>
      </c>
      <c r="O412" s="387"/>
      <c r="P412" s="408"/>
    </row>
    <row r="413" spans="1:16" ht="15" customHeight="1" x14ac:dyDescent="0.25">
      <c r="A413" s="389" t="s">
        <v>124</v>
      </c>
      <c r="B413" s="390"/>
      <c r="C413" s="390"/>
      <c r="D413" s="390"/>
      <c r="E413" s="390"/>
      <c r="F413" s="390"/>
      <c r="G413" s="390"/>
      <c r="H413" s="390"/>
      <c r="I413" s="390"/>
      <c r="J413" s="390"/>
      <c r="K413" s="390"/>
      <c r="L413" s="391"/>
      <c r="M413" s="135">
        <v>81</v>
      </c>
      <c r="N413" s="108">
        <f t="shared" si="12"/>
        <v>2.7955423179532491E-4</v>
      </c>
      <c r="O413" s="387"/>
      <c r="P413" s="408"/>
    </row>
    <row r="414" spans="1:16" ht="15" customHeight="1" x14ac:dyDescent="0.25">
      <c r="A414" s="389" t="s">
        <v>125</v>
      </c>
      <c r="B414" s="390"/>
      <c r="C414" s="390"/>
      <c r="D414" s="390"/>
      <c r="E414" s="390"/>
      <c r="F414" s="390"/>
      <c r="G414" s="390"/>
      <c r="H414" s="390"/>
      <c r="I414" s="390"/>
      <c r="J414" s="390"/>
      <c r="K414" s="390"/>
      <c r="L414" s="391"/>
      <c r="M414" s="135">
        <v>107</v>
      </c>
      <c r="N414" s="108">
        <f t="shared" si="12"/>
        <v>3.6928768891481191E-4</v>
      </c>
      <c r="O414" s="387"/>
      <c r="P414" s="408"/>
    </row>
    <row r="415" spans="1:16" ht="15" customHeight="1" x14ac:dyDescent="0.25">
      <c r="A415" s="389" t="s">
        <v>126</v>
      </c>
      <c r="B415" s="390"/>
      <c r="C415" s="390"/>
      <c r="D415" s="390"/>
      <c r="E415" s="390"/>
      <c r="F415" s="390"/>
      <c r="G415" s="390"/>
      <c r="H415" s="390"/>
      <c r="I415" s="390"/>
      <c r="J415" s="390"/>
      <c r="K415" s="390"/>
      <c r="L415" s="391"/>
      <c r="M415" s="135">
        <v>224</v>
      </c>
      <c r="N415" s="108">
        <f t="shared" si="12"/>
        <v>7.7308824595250338E-4</v>
      </c>
      <c r="O415" s="387"/>
      <c r="P415" s="408"/>
    </row>
    <row r="416" spans="1:16" ht="15" customHeight="1" x14ac:dyDescent="0.25">
      <c r="A416" s="389" t="s">
        <v>127</v>
      </c>
      <c r="B416" s="390"/>
      <c r="C416" s="390"/>
      <c r="D416" s="390"/>
      <c r="E416" s="390"/>
      <c r="F416" s="390"/>
      <c r="G416" s="390"/>
      <c r="H416" s="390"/>
      <c r="I416" s="390"/>
      <c r="J416" s="390"/>
      <c r="K416" s="390"/>
      <c r="L416" s="391"/>
      <c r="M416" s="135">
        <v>93</v>
      </c>
      <c r="N416" s="108">
        <f t="shared" si="12"/>
        <v>3.2096967354278041E-4</v>
      </c>
      <c r="O416" s="387"/>
      <c r="P416" s="408"/>
    </row>
    <row r="417" spans="1:17" ht="15" customHeight="1" x14ac:dyDescent="0.25">
      <c r="A417" s="389" t="s">
        <v>128</v>
      </c>
      <c r="B417" s="390"/>
      <c r="C417" s="390"/>
      <c r="D417" s="390"/>
      <c r="E417" s="390"/>
      <c r="F417" s="390"/>
      <c r="G417" s="390"/>
      <c r="H417" s="390"/>
      <c r="I417" s="390"/>
      <c r="J417" s="390"/>
      <c r="K417" s="390"/>
      <c r="L417" s="391"/>
      <c r="M417" s="135">
        <v>3</v>
      </c>
      <c r="N417" s="108">
        <f t="shared" si="12"/>
        <v>1.0353860436863885E-5</v>
      </c>
      <c r="O417" s="387"/>
      <c r="P417" s="408"/>
    </row>
    <row r="418" spans="1:17" ht="15" customHeight="1" x14ac:dyDescent="0.25">
      <c r="A418" s="389" t="s">
        <v>133</v>
      </c>
      <c r="B418" s="390"/>
      <c r="C418" s="390"/>
      <c r="D418" s="390"/>
      <c r="E418" s="390"/>
      <c r="F418" s="390"/>
      <c r="G418" s="390"/>
      <c r="H418" s="390"/>
      <c r="I418" s="390"/>
      <c r="J418" s="390"/>
      <c r="K418" s="390"/>
      <c r="L418" s="391"/>
      <c r="M418" s="135">
        <v>3</v>
      </c>
      <c r="N418" s="108">
        <f t="shared" si="12"/>
        <v>1.0353860436863885E-5</v>
      </c>
      <c r="O418" s="387"/>
      <c r="P418" s="408"/>
    </row>
    <row r="419" spans="1:17" ht="15" customHeight="1" x14ac:dyDescent="0.25">
      <c r="A419" s="389" t="s">
        <v>178</v>
      </c>
      <c r="B419" s="390"/>
      <c r="C419" s="390"/>
      <c r="D419" s="390"/>
      <c r="E419" s="390"/>
      <c r="F419" s="390"/>
      <c r="G419" s="390"/>
      <c r="H419" s="390"/>
      <c r="I419" s="390"/>
      <c r="J419" s="390"/>
      <c r="K419" s="390"/>
      <c r="L419" s="391"/>
      <c r="M419" s="135">
        <v>3</v>
      </c>
      <c r="N419" s="108">
        <f t="shared" si="12"/>
        <v>1.0353860436863885E-5</v>
      </c>
      <c r="O419" s="387"/>
      <c r="P419" s="408"/>
    </row>
    <row r="420" spans="1:17" ht="15" customHeight="1" x14ac:dyDescent="0.25">
      <c r="A420" s="296" t="s">
        <v>148</v>
      </c>
      <c r="B420" s="291"/>
      <c r="C420" s="291"/>
      <c r="D420" s="291"/>
      <c r="E420" s="291"/>
      <c r="F420" s="291"/>
      <c r="G420" s="291"/>
      <c r="H420" s="291"/>
      <c r="I420" s="291"/>
      <c r="J420" s="291"/>
      <c r="K420" s="291"/>
      <c r="L420" s="379"/>
      <c r="M420" s="127">
        <v>10</v>
      </c>
      <c r="N420" s="108">
        <f t="shared" si="12"/>
        <v>3.4512868122879617E-5</v>
      </c>
      <c r="O420" s="387"/>
      <c r="P420" s="408"/>
    </row>
    <row r="421" spans="1:17" ht="15" customHeight="1" x14ac:dyDescent="0.25">
      <c r="A421" s="389" t="s">
        <v>129</v>
      </c>
      <c r="B421" s="390"/>
      <c r="C421" s="390"/>
      <c r="D421" s="390"/>
      <c r="E421" s="390"/>
      <c r="F421" s="390"/>
      <c r="G421" s="390"/>
      <c r="H421" s="390"/>
      <c r="I421" s="390"/>
      <c r="J421" s="390"/>
      <c r="K421" s="390"/>
      <c r="L421" s="391"/>
      <c r="M421" s="135">
        <v>33</v>
      </c>
      <c r="N421" s="108">
        <f t="shared" si="12"/>
        <v>1.1389246480550273E-4</v>
      </c>
      <c r="O421" s="387"/>
      <c r="P421" s="408"/>
    </row>
    <row r="422" spans="1:17" ht="15.75" customHeight="1" thickBot="1" x14ac:dyDescent="0.3">
      <c r="A422" s="392" t="s">
        <v>203</v>
      </c>
      <c r="B422" s="393"/>
      <c r="C422" s="393"/>
      <c r="D422" s="393"/>
      <c r="E422" s="393"/>
      <c r="F422" s="393"/>
      <c r="G422" s="393"/>
      <c r="H422" s="393"/>
      <c r="I422" s="393"/>
      <c r="J422" s="393"/>
      <c r="K422" s="393"/>
      <c r="L422" s="394"/>
      <c r="M422" s="137">
        <v>4081</v>
      </c>
      <c r="N422" s="115">
        <f t="shared" si="12"/>
        <v>1.4084701480947171E-2</v>
      </c>
      <c r="O422" s="388"/>
      <c r="P422" s="408"/>
      <c r="Q422" s="38"/>
    </row>
    <row r="423" spans="1:17" ht="15.75" customHeight="1" thickBot="1" x14ac:dyDescent="0.3">
      <c r="A423" s="410" t="s">
        <v>131</v>
      </c>
      <c r="B423" s="410"/>
      <c r="C423" s="410"/>
      <c r="D423" s="410"/>
      <c r="E423" s="410"/>
      <c r="F423" s="410"/>
      <c r="G423" s="410"/>
      <c r="H423" s="410"/>
      <c r="I423" s="410"/>
      <c r="J423" s="410"/>
      <c r="K423" s="410"/>
      <c r="L423" s="411"/>
      <c r="M423" s="119">
        <v>29985</v>
      </c>
      <c r="N423" s="120">
        <f t="shared" si="12"/>
        <v>0.10348683506645452</v>
      </c>
      <c r="O423" s="121">
        <f>N423</f>
        <v>0.10348683506645452</v>
      </c>
      <c r="P423" s="408"/>
    </row>
    <row r="424" spans="1:17" ht="13.5" thickBot="1" x14ac:dyDescent="0.25">
      <c r="A424" s="284" t="s">
        <v>134</v>
      </c>
      <c r="B424" s="284"/>
      <c r="C424" s="284"/>
      <c r="D424" s="284"/>
      <c r="E424" s="284"/>
      <c r="F424" s="284"/>
      <c r="G424" s="284"/>
      <c r="H424" s="284"/>
      <c r="I424" s="284"/>
      <c r="J424" s="284"/>
      <c r="K424" s="284"/>
      <c r="L424" s="378"/>
      <c r="M424" s="123">
        <f>SUM(M391:M423)</f>
        <v>289747</v>
      </c>
      <c r="N424" s="124">
        <f t="shared" si="12"/>
        <v>1</v>
      </c>
      <c r="O424" s="124">
        <f>SUM(O391:O423)</f>
        <v>0.99992752297694198</v>
      </c>
      <c r="P424" s="111">
        <f>SUM(P391:P423)</f>
        <v>0.99992752297694198</v>
      </c>
    </row>
    <row r="429" spans="1:17" ht="30" x14ac:dyDescent="0.25">
      <c r="A429" s="171" t="s">
        <v>173</v>
      </c>
      <c r="B429" s="171" t="s">
        <v>172</v>
      </c>
      <c r="C429" s="171" t="s">
        <v>169</v>
      </c>
      <c r="D429" s="171" t="s">
        <v>170</v>
      </c>
    </row>
    <row r="430" spans="1:17" ht="15" x14ac:dyDescent="0.25">
      <c r="A430" s="152" t="s">
        <v>16</v>
      </c>
      <c r="B430" s="153">
        <v>2603</v>
      </c>
      <c r="C430" s="163">
        <f t="shared" ref="C430:C443" si="13">B430/D430</f>
        <v>7.7039185509648389E-2</v>
      </c>
      <c r="D430" s="153">
        <v>33788</v>
      </c>
    </row>
    <row r="431" spans="1:17" ht="15" x14ac:dyDescent="0.25">
      <c r="A431" s="152" t="s">
        <v>85</v>
      </c>
      <c r="B431" s="153">
        <v>184</v>
      </c>
      <c r="C431" s="163">
        <f t="shared" si="13"/>
        <v>4.1875284478834776E-2</v>
      </c>
      <c r="D431" s="153">
        <v>4394</v>
      </c>
    </row>
    <row r="432" spans="1:17" ht="15" x14ac:dyDescent="0.25">
      <c r="A432" s="152" t="s">
        <v>18</v>
      </c>
      <c r="B432" s="153">
        <v>102</v>
      </c>
      <c r="C432" s="163">
        <f t="shared" si="13"/>
        <v>2.5801620948892552E-4</v>
      </c>
      <c r="D432" s="153">
        <v>395324</v>
      </c>
    </row>
    <row r="433" spans="1:4" ht="15" x14ac:dyDescent="0.25">
      <c r="A433" s="152" t="s">
        <v>19</v>
      </c>
      <c r="B433" s="153">
        <v>115</v>
      </c>
      <c r="C433" s="163">
        <f t="shared" si="13"/>
        <v>1.0255038344925985E-2</v>
      </c>
      <c r="D433" s="153">
        <v>11214</v>
      </c>
    </row>
    <row r="434" spans="1:4" ht="15" x14ac:dyDescent="0.25">
      <c r="A434" s="152" t="s">
        <v>20</v>
      </c>
      <c r="B434" s="153">
        <v>104</v>
      </c>
      <c r="C434" s="163">
        <f t="shared" si="13"/>
        <v>1.5427978044800474E-2</v>
      </c>
      <c r="D434" s="153">
        <v>6741</v>
      </c>
    </row>
    <row r="435" spans="1:4" ht="15" x14ac:dyDescent="0.25">
      <c r="A435" s="152" t="s">
        <v>23</v>
      </c>
      <c r="B435" s="153">
        <v>103</v>
      </c>
      <c r="C435" s="163">
        <f t="shared" si="13"/>
        <v>9.8485427981335571E-4</v>
      </c>
      <c r="D435" s="153">
        <v>104584</v>
      </c>
    </row>
    <row r="436" spans="1:4" ht="15" x14ac:dyDescent="0.25">
      <c r="A436" s="152" t="s">
        <v>25</v>
      </c>
      <c r="B436" s="153">
        <v>1092</v>
      </c>
      <c r="C436" s="163">
        <f t="shared" si="13"/>
        <v>0.13234759423100231</v>
      </c>
      <c r="D436" s="153">
        <v>8251</v>
      </c>
    </row>
    <row r="437" spans="1:4" ht="15" x14ac:dyDescent="0.25">
      <c r="A437" s="152" t="s">
        <v>95</v>
      </c>
      <c r="B437" s="153">
        <v>148</v>
      </c>
      <c r="C437" s="163">
        <f t="shared" si="13"/>
        <v>7.4717285945072702E-3</v>
      </c>
      <c r="D437" s="153">
        <v>19808</v>
      </c>
    </row>
    <row r="438" spans="1:4" ht="15" x14ac:dyDescent="0.25">
      <c r="A438" s="152" t="s">
        <v>2</v>
      </c>
      <c r="B438" s="153">
        <v>107</v>
      </c>
      <c r="C438" s="163">
        <f t="shared" si="13"/>
        <v>4.8738270930126625E-3</v>
      </c>
      <c r="D438" s="153">
        <v>21954</v>
      </c>
    </row>
    <row r="439" spans="1:4" ht="15" x14ac:dyDescent="0.25">
      <c r="A439" s="152" t="s">
        <v>27</v>
      </c>
      <c r="B439" s="153">
        <v>73</v>
      </c>
      <c r="C439" s="163">
        <f t="shared" si="13"/>
        <v>2.1770898571471177E-3</v>
      </c>
      <c r="D439" s="153">
        <v>33531</v>
      </c>
    </row>
    <row r="440" spans="1:4" ht="15" x14ac:dyDescent="0.25">
      <c r="A440" s="152" t="s">
        <v>28</v>
      </c>
      <c r="B440" s="153">
        <v>184</v>
      </c>
      <c r="C440" s="163">
        <f t="shared" si="13"/>
        <v>1.1210625723511851E-2</v>
      </c>
      <c r="D440" s="153">
        <v>16413</v>
      </c>
    </row>
    <row r="441" spans="1:4" ht="15" x14ac:dyDescent="0.25">
      <c r="A441" s="152" t="s">
        <v>29</v>
      </c>
      <c r="B441" s="153">
        <v>2</v>
      </c>
      <c r="C441" s="163">
        <f t="shared" si="13"/>
        <v>3.5106812476961156E-5</v>
      </c>
      <c r="D441" s="153">
        <v>56969</v>
      </c>
    </row>
    <row r="442" spans="1:4" ht="15.75" thickBot="1" x14ac:dyDescent="0.3">
      <c r="A442" s="152" t="s">
        <v>30</v>
      </c>
      <c r="B442" s="153">
        <v>112</v>
      </c>
      <c r="C442" s="163">
        <f t="shared" si="13"/>
        <v>8.0109291962606128E-4</v>
      </c>
      <c r="D442" s="153">
        <v>139809</v>
      </c>
    </row>
    <row r="443" spans="1:4" ht="15.75" thickBot="1" x14ac:dyDescent="0.3">
      <c r="A443" s="167" t="s">
        <v>174</v>
      </c>
      <c r="B443" s="168">
        <f>SUM(B430:B442)</f>
        <v>4929</v>
      </c>
      <c r="C443" s="169">
        <f t="shared" si="13"/>
        <v>5.7799197917399563E-3</v>
      </c>
      <c r="D443" s="170">
        <f>SUM(D430:D442)</f>
        <v>852780</v>
      </c>
    </row>
  </sheetData>
  <mergeCells count="114">
    <mergeCell ref="A424:L424"/>
    <mergeCell ref="A399:L399"/>
    <mergeCell ref="A420:L420"/>
    <mergeCell ref="A421:L421"/>
    <mergeCell ref="A422:L422"/>
    <mergeCell ref="A423:L423"/>
    <mergeCell ref="A411:L411"/>
    <mergeCell ref="A412:L412"/>
    <mergeCell ref="A413:L413"/>
    <mergeCell ref="A414:L414"/>
    <mergeCell ref="A415:L415"/>
    <mergeCell ref="A416:L416"/>
    <mergeCell ref="A417:L417"/>
    <mergeCell ref="A418:L418"/>
    <mergeCell ref="A419:L419"/>
    <mergeCell ref="A405:L405"/>
    <mergeCell ref="A406:L406"/>
    <mergeCell ref="A407:L407"/>
    <mergeCell ref="A408:L408"/>
    <mergeCell ref="A409:L409"/>
    <mergeCell ref="A386:B386"/>
    <mergeCell ref="A410:L410"/>
    <mergeCell ref="A395:L395"/>
    <mergeCell ref="A396:L396"/>
    <mergeCell ref="A398:L398"/>
    <mergeCell ref="A400:L400"/>
    <mergeCell ref="A401:L401"/>
    <mergeCell ref="A402:L402"/>
    <mergeCell ref="A403:L403"/>
    <mergeCell ref="A404:L404"/>
    <mergeCell ref="A277:B277"/>
    <mergeCell ref="A286:C286"/>
    <mergeCell ref="A314:B314"/>
    <mergeCell ref="A323:C323"/>
    <mergeCell ref="A351:B351"/>
    <mergeCell ref="A358:C358"/>
    <mergeCell ref="A204:E204"/>
    <mergeCell ref="A205:E205"/>
    <mergeCell ref="A206:E206"/>
    <mergeCell ref="A207:E207"/>
    <mergeCell ref="A211:D211"/>
    <mergeCell ref="A249:C249"/>
    <mergeCell ref="A196:D196"/>
    <mergeCell ref="A199:G199"/>
    <mergeCell ref="A200:E200"/>
    <mergeCell ref="A201:E201"/>
    <mergeCell ref="A202:E202"/>
    <mergeCell ref="A203:E203"/>
    <mergeCell ref="A190:F190"/>
    <mergeCell ref="A191:D191"/>
    <mergeCell ref="A192:D192"/>
    <mergeCell ref="A193:D193"/>
    <mergeCell ref="A194:D194"/>
    <mergeCell ref="A195:D195"/>
    <mergeCell ref="A180:C180"/>
    <mergeCell ref="A183:E183"/>
    <mergeCell ref="A184:C184"/>
    <mergeCell ref="A185:C185"/>
    <mergeCell ref="A186:C186"/>
    <mergeCell ref="A187:C187"/>
    <mergeCell ref="A171:C171"/>
    <mergeCell ref="A172:C172"/>
    <mergeCell ref="A176:E176"/>
    <mergeCell ref="A177:C177"/>
    <mergeCell ref="A178:C178"/>
    <mergeCell ref="A179:C179"/>
    <mergeCell ref="A164:E164"/>
    <mergeCell ref="A165:C165"/>
    <mergeCell ref="A166:C166"/>
    <mergeCell ref="A167:C167"/>
    <mergeCell ref="A169:E169"/>
    <mergeCell ref="A170:C170"/>
    <mergeCell ref="B149:E149"/>
    <mergeCell ref="B150:E150"/>
    <mergeCell ref="B151:E151"/>
    <mergeCell ref="B152:E152"/>
    <mergeCell ref="B153:E153"/>
    <mergeCell ref="A154:E154"/>
    <mergeCell ref="C12:K12"/>
    <mergeCell ref="C13:K13"/>
    <mergeCell ref="B143:E143"/>
    <mergeCell ref="B144:E144"/>
    <mergeCell ref="B145:E145"/>
    <mergeCell ref="B146:E146"/>
    <mergeCell ref="B147:E147"/>
    <mergeCell ref="B148:E148"/>
    <mergeCell ref="A17:C17"/>
    <mergeCell ref="A64:B64"/>
    <mergeCell ref="A88:D88"/>
    <mergeCell ref="A141:G141"/>
    <mergeCell ref="B142:E142"/>
    <mergeCell ref="C14:K14"/>
    <mergeCell ref="C3:K3"/>
    <mergeCell ref="C5:K5"/>
    <mergeCell ref="C6:K6"/>
    <mergeCell ref="C7:K7"/>
    <mergeCell ref="C8:K8"/>
    <mergeCell ref="C9:K9"/>
    <mergeCell ref="C10:K10"/>
    <mergeCell ref="C11:K11"/>
    <mergeCell ref="C2:K2"/>
    <mergeCell ref="A389:L389"/>
    <mergeCell ref="A390:L390"/>
    <mergeCell ref="A391:L391"/>
    <mergeCell ref="A392:L392"/>
    <mergeCell ref="A393:L393"/>
    <mergeCell ref="A394:L394"/>
    <mergeCell ref="M390:P390"/>
    <mergeCell ref="O391:O393"/>
    <mergeCell ref="P391:P393"/>
    <mergeCell ref="O394:O408"/>
    <mergeCell ref="P394:P423"/>
    <mergeCell ref="O409:O422"/>
    <mergeCell ref="A397:L397"/>
  </mergeCells>
  <conditionalFormatting sqref="C287:C313">
    <cfRule type="top10" dxfId="28" priority="7" rank="3"/>
  </conditionalFormatting>
  <conditionalFormatting sqref="C250:C276">
    <cfRule type="top10" dxfId="27" priority="6" rank="4"/>
  </conditionalFormatting>
  <conditionalFormatting sqref="C324:C350">
    <cfRule type="top10" dxfId="26" priority="5" rank="3"/>
  </conditionalFormatting>
  <conditionalFormatting sqref="C359:C385">
    <cfRule type="top10" dxfId="25" priority="4" rank="4"/>
  </conditionalFormatting>
  <conditionalFormatting sqref="N397">
    <cfRule type="top10" dxfId="24" priority="2" rank="5"/>
  </conditionalFormatting>
  <conditionalFormatting sqref="N391:N396 N398:N423">
    <cfRule type="top10" dxfId="23" priority="31" rank="5"/>
  </conditionalFormatting>
  <conditionalFormatting sqref="C430:C442">
    <cfRule type="aboveAverage" dxfId="22" priority="43" stopIfTrue="1"/>
  </conditionalFormatting>
  <pageMargins left="0.23622047244094491" right="0.23622047244094491" top="0.74803149606299213" bottom="0.74803149606299213" header="0.31496062992125984" footer="0.31496062992125984"/>
  <pageSetup paperSize="9" scale="55" fitToHeight="0" orientation="landscape" horizontalDpi="4294967295" verticalDpi="4294967295" r:id="rId1"/>
  <headerFooter alignWithMargins="0">
    <oddHeader>&amp;L&amp;G&amp;C&amp;D&amp;R&amp;F</oddHeader>
  </headerFooter>
  <rowBreaks count="9" manualBreakCount="9">
    <brk id="15" max="16383" man="1"/>
    <brk id="62" max="16383" man="1"/>
    <brk id="86" max="16383" man="1"/>
    <brk id="139" max="16383" man="1"/>
    <brk id="174" max="16383" man="1"/>
    <brk id="209" max="16383" man="1"/>
    <brk id="247" max="16383" man="1"/>
    <brk id="284" max="16383" man="1"/>
    <brk id="321" max="16383" man="1"/>
  </rowBreaks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26"/>
  <sheetViews>
    <sheetView topLeftCell="A41" zoomScaleNormal="100" workbookViewId="0">
      <selection activeCell="A2" sqref="A2"/>
    </sheetView>
  </sheetViews>
  <sheetFormatPr defaultRowHeight="12.75" x14ac:dyDescent="0.2"/>
  <cols>
    <col min="1" max="2" width="9.140625" style="173"/>
    <col min="3" max="3" width="7.140625" style="173" customWidth="1"/>
    <col min="4" max="16384" width="9.140625" style="173"/>
  </cols>
  <sheetData>
    <row r="1" spans="1:6" ht="18.75" x14ac:dyDescent="0.3">
      <c r="A1" s="172" t="s">
        <v>151</v>
      </c>
      <c r="B1" s="172"/>
      <c r="C1" s="172"/>
      <c r="D1" s="172"/>
    </row>
    <row r="2" spans="1:6" ht="15" x14ac:dyDescent="0.25">
      <c r="A2" s="174" t="s">
        <v>18</v>
      </c>
      <c r="E2" s="449" t="s">
        <v>152</v>
      </c>
      <c r="F2" s="449"/>
    </row>
    <row r="3" spans="1:6" ht="15" x14ac:dyDescent="0.25">
      <c r="A3" s="175" t="s">
        <v>157</v>
      </c>
      <c r="B3" s="175" t="s">
        <v>103</v>
      </c>
      <c r="C3" s="176" t="s">
        <v>105</v>
      </c>
      <c r="E3" s="175" t="s">
        <v>157</v>
      </c>
      <c r="F3" s="177" t="s">
        <v>105</v>
      </c>
    </row>
    <row r="4" spans="1:6" ht="15" x14ac:dyDescent="0.25">
      <c r="A4" s="178" t="s">
        <v>14</v>
      </c>
      <c r="B4" s="179">
        <v>4507</v>
      </c>
      <c r="C4" s="157">
        <f>B4/B$17</f>
        <v>9.2496818946763537E-2</v>
      </c>
      <c r="E4" s="199" t="str">
        <f>A16</f>
        <v>PL</v>
      </c>
      <c r="F4" s="200">
        <f>C16</f>
        <v>0.53735172187333247</v>
      </c>
    </row>
    <row r="5" spans="1:6" ht="15" x14ac:dyDescent="0.25">
      <c r="A5" s="178" t="s">
        <v>15</v>
      </c>
      <c r="B5" s="179">
        <v>1003</v>
      </c>
      <c r="C5" s="157">
        <f t="shared" ref="C5:C16" si="0">B5/B$17</f>
        <v>2.0584492878545337E-2</v>
      </c>
      <c r="E5" s="199" t="str">
        <f>A10</f>
        <v>FR</v>
      </c>
      <c r="F5" s="200">
        <f>C10</f>
        <v>0.12040799573123179</v>
      </c>
    </row>
    <row r="6" spans="1:6" ht="15" x14ac:dyDescent="0.25">
      <c r="A6" s="178" t="s">
        <v>16</v>
      </c>
      <c r="B6" s="179">
        <v>295</v>
      </c>
      <c r="C6" s="157">
        <f t="shared" si="0"/>
        <v>6.0542626113368634E-3</v>
      </c>
      <c r="E6" s="199" t="str">
        <f>A12</f>
        <v>IT</v>
      </c>
      <c r="F6" s="200">
        <f>C12</f>
        <v>9.7483889504576607E-2</v>
      </c>
    </row>
    <row r="7" spans="1:6" ht="15" x14ac:dyDescent="0.25">
      <c r="A7" s="178" t="s">
        <v>17</v>
      </c>
      <c r="B7" s="179">
        <v>535</v>
      </c>
      <c r="C7" s="157">
        <f t="shared" si="0"/>
        <v>1.097976439683126E-2</v>
      </c>
      <c r="E7" s="199" t="str">
        <f>A4</f>
        <v>AT</v>
      </c>
      <c r="F7" s="200">
        <f>C4</f>
        <v>9.2496818946763537E-2</v>
      </c>
    </row>
    <row r="8" spans="1:6" ht="15" x14ac:dyDescent="0.25">
      <c r="A8" s="178" t="s">
        <v>19</v>
      </c>
      <c r="B8" s="179">
        <v>51</v>
      </c>
      <c r="C8" s="157">
        <f t="shared" si="0"/>
        <v>1.0466691294175594E-3</v>
      </c>
      <c r="E8" s="199" t="s">
        <v>153</v>
      </c>
      <c r="F8" s="200">
        <f>C5+C6+C7+C8+C11+C13+C14+C15</f>
        <v>0.1047079587899684</v>
      </c>
    </row>
    <row r="9" spans="1:6" ht="15" x14ac:dyDescent="0.25">
      <c r="A9" s="178" t="s">
        <v>21</v>
      </c>
      <c r="B9" s="179">
        <v>2317</v>
      </c>
      <c r="C9" s="157">
        <f t="shared" si="0"/>
        <v>4.7551615154127161E-2</v>
      </c>
    </row>
    <row r="10" spans="1:6" ht="15" x14ac:dyDescent="0.25">
      <c r="A10" s="178" t="s">
        <v>23</v>
      </c>
      <c r="B10" s="179">
        <v>5867</v>
      </c>
      <c r="C10" s="157">
        <f t="shared" si="0"/>
        <v>0.12040799573123179</v>
      </c>
    </row>
    <row r="11" spans="1:6" ht="15" x14ac:dyDescent="0.25">
      <c r="A11" s="178" t="s">
        <v>24</v>
      </c>
      <c r="B11" s="179">
        <v>1962</v>
      </c>
      <c r="C11" s="157">
        <f t="shared" si="0"/>
        <v>4.0265977096416695E-2</v>
      </c>
    </row>
    <row r="12" spans="1:6" ht="15" x14ac:dyDescent="0.25">
      <c r="A12" s="178" t="s">
        <v>82</v>
      </c>
      <c r="B12" s="179">
        <v>4750</v>
      </c>
      <c r="C12" s="157">
        <f t="shared" si="0"/>
        <v>9.7483889504576607E-2</v>
      </c>
    </row>
    <row r="13" spans="1:6" ht="15" x14ac:dyDescent="0.25">
      <c r="A13" s="178" t="s">
        <v>27</v>
      </c>
      <c r="B13" s="179">
        <v>1129</v>
      </c>
      <c r="C13" s="157">
        <f t="shared" si="0"/>
        <v>2.3170381315929894E-2</v>
      </c>
    </row>
    <row r="14" spans="1:6" ht="15" x14ac:dyDescent="0.25">
      <c r="A14" s="178" t="s">
        <v>96</v>
      </c>
      <c r="B14" s="179">
        <v>108</v>
      </c>
      <c r="C14" s="157">
        <f t="shared" si="0"/>
        <v>2.216475803472479E-3</v>
      </c>
    </row>
    <row r="15" spans="1:6" ht="15" x14ac:dyDescent="0.25">
      <c r="A15" s="178" t="s">
        <v>29</v>
      </c>
      <c r="B15" s="179">
        <v>19</v>
      </c>
      <c r="C15" s="157">
        <f t="shared" si="0"/>
        <v>3.8993555801830648E-4</v>
      </c>
    </row>
    <row r="16" spans="1:6" ht="15.75" thickBot="1" x14ac:dyDescent="0.3">
      <c r="A16" s="180" t="s">
        <v>30</v>
      </c>
      <c r="B16" s="181">
        <v>26183</v>
      </c>
      <c r="C16" s="157">
        <f t="shared" si="0"/>
        <v>0.53735172187333247</v>
      </c>
    </row>
    <row r="17" spans="1:6" ht="15.75" thickBot="1" x14ac:dyDescent="0.3">
      <c r="A17" s="182" t="s">
        <v>91</v>
      </c>
      <c r="B17" s="158">
        <f>SUM(B4:B16)</f>
        <v>48726</v>
      </c>
      <c r="C17" s="183"/>
    </row>
    <row r="19" spans="1:6" ht="15" x14ac:dyDescent="0.25">
      <c r="A19" s="184" t="s">
        <v>24</v>
      </c>
      <c r="E19" s="449" t="s">
        <v>154</v>
      </c>
      <c r="F19" s="449"/>
    </row>
    <row r="20" spans="1:6" ht="15" x14ac:dyDescent="0.25">
      <c r="A20" s="185" t="s">
        <v>157</v>
      </c>
      <c r="B20" s="185" t="s">
        <v>103</v>
      </c>
      <c r="C20" s="176" t="s">
        <v>105</v>
      </c>
      <c r="E20" s="175" t="s">
        <v>157</v>
      </c>
      <c r="F20" s="177" t="s">
        <v>105</v>
      </c>
    </row>
    <row r="21" spans="1:6" ht="15" x14ac:dyDescent="0.25">
      <c r="A21" s="186" t="s">
        <v>14</v>
      </c>
      <c r="B21" s="187">
        <v>110</v>
      </c>
      <c r="C21" s="157">
        <f>B21/B$39</f>
        <v>3.8163966276931619E-3</v>
      </c>
      <c r="E21" s="199" t="str">
        <f>A37</f>
        <v>RO</v>
      </c>
      <c r="F21" s="200">
        <f>C37</f>
        <v>0.2563230753217916</v>
      </c>
    </row>
    <row r="22" spans="1:6" ht="15" x14ac:dyDescent="0.25">
      <c r="A22" s="186" t="s">
        <v>15</v>
      </c>
      <c r="B22" s="187">
        <v>311</v>
      </c>
      <c r="C22" s="157">
        <f t="shared" ref="C22:C38" si="1">B22/B$39</f>
        <v>1.0789994101932484E-2</v>
      </c>
      <c r="E22" s="199" t="str">
        <f>A36</f>
        <v>PL</v>
      </c>
      <c r="F22" s="200">
        <f>C36</f>
        <v>0.22794296221767338</v>
      </c>
    </row>
    <row r="23" spans="1:6" ht="15" x14ac:dyDescent="0.25">
      <c r="A23" s="186" t="s">
        <v>18</v>
      </c>
      <c r="B23" s="187">
        <v>1262</v>
      </c>
      <c r="C23" s="157">
        <f t="shared" si="1"/>
        <v>4.3784477674079725E-2</v>
      </c>
      <c r="E23" s="199" t="str">
        <f>A33</f>
        <v>LT</v>
      </c>
      <c r="F23" s="200">
        <f>C33</f>
        <v>0.1832911216736634</v>
      </c>
    </row>
    <row r="24" spans="1:6" ht="15" x14ac:dyDescent="0.25">
      <c r="A24" s="186" t="s">
        <v>19</v>
      </c>
      <c r="B24" s="187">
        <v>25</v>
      </c>
      <c r="C24" s="157">
        <f t="shared" si="1"/>
        <v>8.67362869930264E-4</v>
      </c>
      <c r="E24" s="200" t="str">
        <f>A34</f>
        <v>LV</v>
      </c>
      <c r="F24" s="200">
        <f>C34</f>
        <v>6.810533254692433E-2</v>
      </c>
    </row>
    <row r="25" spans="1:6" ht="15" x14ac:dyDescent="0.25">
      <c r="A25" s="186" t="s">
        <v>20</v>
      </c>
      <c r="B25" s="187">
        <v>158</v>
      </c>
      <c r="C25" s="157">
        <f t="shared" si="1"/>
        <v>5.481733337959269E-3</v>
      </c>
      <c r="E25" s="199" t="s">
        <v>155</v>
      </c>
      <c r="F25" s="200">
        <f>C21+C22+C23+C24+C25+C26+C27+C28+C29+C30+C31+C35+C38</f>
        <v>0.2381431495680533</v>
      </c>
    </row>
    <row r="26" spans="1:6" ht="15" x14ac:dyDescent="0.25">
      <c r="A26" s="186" t="s">
        <v>21</v>
      </c>
      <c r="B26" s="187">
        <v>685</v>
      </c>
      <c r="C26" s="157">
        <f t="shared" si="1"/>
        <v>2.3765742636089233E-2</v>
      </c>
    </row>
    <row r="27" spans="1:6" ht="15" x14ac:dyDescent="0.25">
      <c r="A27" s="186" t="s">
        <v>22</v>
      </c>
      <c r="B27" s="187">
        <v>56</v>
      </c>
      <c r="C27" s="157">
        <f t="shared" si="1"/>
        <v>1.9428928286437915E-3</v>
      </c>
    </row>
    <row r="28" spans="1:6" ht="15" x14ac:dyDescent="0.25">
      <c r="A28" s="186" t="s">
        <v>23</v>
      </c>
      <c r="B28" s="187">
        <v>778</v>
      </c>
      <c r="C28" s="157">
        <f t="shared" si="1"/>
        <v>2.6992332512229815E-2</v>
      </c>
    </row>
    <row r="29" spans="1:6" ht="15" x14ac:dyDescent="0.25">
      <c r="A29" s="186" t="s">
        <v>25</v>
      </c>
      <c r="B29" s="187">
        <v>194</v>
      </c>
      <c r="C29" s="157">
        <f t="shared" si="1"/>
        <v>6.7307358706588487E-3</v>
      </c>
    </row>
    <row r="30" spans="1:6" ht="15" x14ac:dyDescent="0.25">
      <c r="A30" s="186" t="s">
        <v>2</v>
      </c>
      <c r="B30" s="187">
        <v>788</v>
      </c>
      <c r="C30" s="157">
        <f t="shared" si="1"/>
        <v>2.7339277660201923E-2</v>
      </c>
    </row>
    <row r="31" spans="1:6" ht="15" x14ac:dyDescent="0.25">
      <c r="A31" s="186" t="s">
        <v>26</v>
      </c>
      <c r="B31" s="187">
        <v>1643</v>
      </c>
      <c r="C31" s="157">
        <f t="shared" si="1"/>
        <v>5.7003087811816955E-2</v>
      </c>
    </row>
    <row r="32" spans="1:6" ht="15" x14ac:dyDescent="0.25">
      <c r="A32" s="186" t="s">
        <v>82</v>
      </c>
      <c r="B32" s="187">
        <v>755</v>
      </c>
      <c r="C32" s="157">
        <f t="shared" si="1"/>
        <v>2.6194358671893972E-2</v>
      </c>
    </row>
    <row r="33" spans="1:6" ht="15" x14ac:dyDescent="0.25">
      <c r="A33" s="186" t="s">
        <v>27</v>
      </c>
      <c r="B33" s="187">
        <v>5283</v>
      </c>
      <c r="C33" s="157">
        <f t="shared" si="1"/>
        <v>0.1832911216736634</v>
      </c>
    </row>
    <row r="34" spans="1:6" ht="15" x14ac:dyDescent="0.25">
      <c r="A34" s="186" t="s">
        <v>28</v>
      </c>
      <c r="B34" s="187">
        <v>1963</v>
      </c>
      <c r="C34" s="157">
        <f t="shared" si="1"/>
        <v>6.810533254692433E-2</v>
      </c>
    </row>
    <row r="35" spans="1:6" ht="15" x14ac:dyDescent="0.25">
      <c r="A35" s="186" t="s">
        <v>29</v>
      </c>
      <c r="B35" s="187">
        <v>761</v>
      </c>
      <c r="C35" s="157">
        <f t="shared" si="1"/>
        <v>2.6402525760677236E-2</v>
      </c>
    </row>
    <row r="36" spans="1:6" ht="15" x14ac:dyDescent="0.25">
      <c r="A36" s="186" t="s">
        <v>30</v>
      </c>
      <c r="B36" s="187">
        <v>6570</v>
      </c>
      <c r="C36" s="157">
        <f t="shared" si="1"/>
        <v>0.22794296221767338</v>
      </c>
    </row>
    <row r="37" spans="1:6" ht="15" x14ac:dyDescent="0.25">
      <c r="A37" s="186" t="s">
        <v>31</v>
      </c>
      <c r="B37" s="187">
        <v>7388</v>
      </c>
      <c r="C37" s="157">
        <f t="shared" si="1"/>
        <v>0.2563230753217916</v>
      </c>
    </row>
    <row r="38" spans="1:6" ht="15.75" thickBot="1" x14ac:dyDescent="0.3">
      <c r="A38" s="188" t="s">
        <v>98</v>
      </c>
      <c r="B38" s="189">
        <v>93</v>
      </c>
      <c r="C38" s="157">
        <f t="shared" si="1"/>
        <v>3.2265898761405822E-3</v>
      </c>
    </row>
    <row r="39" spans="1:6" ht="15.75" thickBot="1" x14ac:dyDescent="0.3">
      <c r="A39" s="190" t="s">
        <v>137</v>
      </c>
      <c r="B39" s="158">
        <f>SUM(B21:B38)</f>
        <v>28823</v>
      </c>
      <c r="C39" s="183"/>
    </row>
    <row r="41" spans="1:6" ht="15" x14ac:dyDescent="0.25">
      <c r="A41" s="184" t="s">
        <v>14</v>
      </c>
      <c r="E41" s="173" t="s">
        <v>158</v>
      </c>
    </row>
    <row r="42" spans="1:6" ht="15" x14ac:dyDescent="0.25">
      <c r="A42" s="185" t="s">
        <v>157</v>
      </c>
      <c r="B42" s="185" t="s">
        <v>103</v>
      </c>
      <c r="C42" s="176" t="s">
        <v>105</v>
      </c>
      <c r="E42" s="175" t="s">
        <v>157</v>
      </c>
      <c r="F42" s="177" t="s">
        <v>105</v>
      </c>
    </row>
    <row r="43" spans="1:6" ht="15" x14ac:dyDescent="0.25">
      <c r="A43" s="186" t="s">
        <v>15</v>
      </c>
      <c r="B43" s="187">
        <v>193</v>
      </c>
      <c r="C43" s="157">
        <f>B43/B$66</f>
        <v>7.6581223712403777E-3</v>
      </c>
      <c r="E43" s="199" t="str">
        <f>A46</f>
        <v>DE</v>
      </c>
      <c r="F43" s="200">
        <f>C46</f>
        <v>0.466788350130942</v>
      </c>
    </row>
    <row r="44" spans="1:6" ht="15" x14ac:dyDescent="0.25">
      <c r="A44" s="186" t="s">
        <v>16</v>
      </c>
      <c r="B44" s="187">
        <v>334</v>
      </c>
      <c r="C44" s="157">
        <f t="shared" ref="C44:C65" si="2">B44/B$66</f>
        <v>1.3252916435203555E-2</v>
      </c>
      <c r="E44" s="199" t="str">
        <f>A63</f>
        <v>RO</v>
      </c>
      <c r="F44" s="200">
        <f>C63</f>
        <v>0.12963256884374255</v>
      </c>
    </row>
    <row r="45" spans="1:6" ht="15" x14ac:dyDescent="0.25">
      <c r="A45" s="186" t="s">
        <v>17</v>
      </c>
      <c r="B45" s="187">
        <v>810</v>
      </c>
      <c r="C45" s="157">
        <f t="shared" si="2"/>
        <v>3.2140306324894848E-2</v>
      </c>
      <c r="E45" s="199" t="str">
        <f>A62</f>
        <v>PL</v>
      </c>
      <c r="F45" s="200">
        <f>C62</f>
        <v>8.9199269899214353E-2</v>
      </c>
    </row>
    <row r="46" spans="1:6" ht="15" x14ac:dyDescent="0.25">
      <c r="A46" s="186" t="s">
        <v>18</v>
      </c>
      <c r="B46" s="187">
        <v>11764</v>
      </c>
      <c r="C46" s="157">
        <f t="shared" si="2"/>
        <v>0.466788350130942</v>
      </c>
      <c r="E46" s="200" t="str">
        <f>A54</f>
        <v>HR</v>
      </c>
      <c r="F46" s="200">
        <f>C54</f>
        <v>4.9083406078882626E-2</v>
      </c>
    </row>
    <row r="47" spans="1:6" ht="15" x14ac:dyDescent="0.25">
      <c r="A47" s="186" t="s">
        <v>19</v>
      </c>
      <c r="B47" s="187">
        <v>121</v>
      </c>
      <c r="C47" s="157">
        <f t="shared" si="2"/>
        <v>4.8012062534719463E-3</v>
      </c>
      <c r="E47" s="199" t="s">
        <v>156</v>
      </c>
      <c r="F47" s="200">
        <f>C43+C44+C45+C47+C48+C49+C50+C51+C52+C53+C55+C56+C57+C58+C59+C60+C64+C65+C61</f>
        <v>0.26529640504721846</v>
      </c>
    </row>
    <row r="48" spans="1:6" ht="15" x14ac:dyDescent="0.25">
      <c r="A48" s="186" t="s">
        <v>20</v>
      </c>
      <c r="B48" s="187">
        <v>84</v>
      </c>
      <c r="C48" s="157">
        <f t="shared" si="2"/>
        <v>3.3330688040631696E-3</v>
      </c>
    </row>
    <row r="49" spans="1:3" ht="15" x14ac:dyDescent="0.25">
      <c r="A49" s="186" t="s">
        <v>21</v>
      </c>
      <c r="B49" s="187">
        <v>368</v>
      </c>
      <c r="C49" s="157">
        <f t="shared" si="2"/>
        <v>1.4602015713038648E-2</v>
      </c>
    </row>
    <row r="50" spans="1:3" ht="15" x14ac:dyDescent="0.25">
      <c r="A50" s="186" t="s">
        <v>22</v>
      </c>
      <c r="B50" s="187">
        <v>110</v>
      </c>
      <c r="C50" s="157">
        <f t="shared" si="2"/>
        <v>4.36473295770177E-3</v>
      </c>
    </row>
    <row r="51" spans="1:3" ht="15" x14ac:dyDescent="0.25">
      <c r="A51" s="186" t="s">
        <v>23</v>
      </c>
      <c r="B51" s="187">
        <v>451</v>
      </c>
      <c r="C51" s="157">
        <f t="shared" si="2"/>
        <v>1.7895405126577255E-2</v>
      </c>
    </row>
    <row r="52" spans="1:3" ht="15" x14ac:dyDescent="0.25">
      <c r="A52" s="186" t="s">
        <v>24</v>
      </c>
      <c r="B52" s="187">
        <v>514</v>
      </c>
      <c r="C52" s="157">
        <f t="shared" si="2"/>
        <v>2.0395206729624634E-2</v>
      </c>
    </row>
    <row r="53" spans="1:3" ht="15" x14ac:dyDescent="0.25">
      <c r="A53" s="186" t="s">
        <v>25</v>
      </c>
      <c r="B53" s="187">
        <v>303</v>
      </c>
      <c r="C53" s="157">
        <f t="shared" si="2"/>
        <v>1.2022855328942147E-2</v>
      </c>
    </row>
    <row r="54" spans="1:3" ht="15" x14ac:dyDescent="0.25">
      <c r="A54" s="186" t="s">
        <v>95</v>
      </c>
      <c r="B54" s="187">
        <v>1237</v>
      </c>
      <c r="C54" s="157">
        <f t="shared" si="2"/>
        <v>4.9083406078882626E-2</v>
      </c>
    </row>
    <row r="55" spans="1:3" ht="15" x14ac:dyDescent="0.25">
      <c r="A55" s="186" t="s">
        <v>2</v>
      </c>
      <c r="B55" s="187">
        <v>1194</v>
      </c>
      <c r="C55" s="157">
        <f t="shared" si="2"/>
        <v>4.7377192286326482E-2</v>
      </c>
    </row>
    <row r="56" spans="1:3" ht="15" x14ac:dyDescent="0.25">
      <c r="A56" s="186" t="s">
        <v>26</v>
      </c>
      <c r="B56" s="187">
        <v>56</v>
      </c>
      <c r="C56" s="157">
        <f t="shared" si="2"/>
        <v>2.2220458693754464E-3</v>
      </c>
    </row>
    <row r="57" spans="1:3" ht="15" x14ac:dyDescent="0.25">
      <c r="A57" s="186" t="s">
        <v>82</v>
      </c>
      <c r="B57" s="187">
        <v>763</v>
      </c>
      <c r="C57" s="157">
        <f t="shared" si="2"/>
        <v>3.0275374970240458E-2</v>
      </c>
    </row>
    <row r="58" spans="1:3" ht="15" x14ac:dyDescent="0.25">
      <c r="A58" s="186" t="s">
        <v>27</v>
      </c>
      <c r="B58" s="187">
        <v>189</v>
      </c>
      <c r="C58" s="157">
        <f t="shared" si="2"/>
        <v>7.4994048091421312E-3</v>
      </c>
    </row>
    <row r="59" spans="1:3" ht="15" x14ac:dyDescent="0.25">
      <c r="A59" s="186" t="s">
        <v>96</v>
      </c>
      <c r="B59" s="187">
        <v>32</v>
      </c>
      <c r="C59" s="157">
        <f t="shared" si="2"/>
        <v>1.2697404967859695E-3</v>
      </c>
    </row>
    <row r="60" spans="1:3" ht="15" x14ac:dyDescent="0.25">
      <c r="A60" s="186" t="s">
        <v>28</v>
      </c>
      <c r="B60" s="187">
        <v>121</v>
      </c>
      <c r="C60" s="157">
        <f t="shared" si="2"/>
        <v>4.8012062534719463E-3</v>
      </c>
    </row>
    <row r="61" spans="1:3" ht="15" x14ac:dyDescent="0.25">
      <c r="A61" s="186" t="s">
        <v>29</v>
      </c>
      <c r="B61" s="187">
        <v>263</v>
      </c>
      <c r="C61" s="157">
        <f t="shared" si="2"/>
        <v>1.0435679707959685E-2</v>
      </c>
    </row>
    <row r="62" spans="1:3" ht="15" x14ac:dyDescent="0.25">
      <c r="A62" s="186" t="s">
        <v>30</v>
      </c>
      <c r="B62" s="187">
        <v>2248</v>
      </c>
      <c r="C62" s="157">
        <f t="shared" si="2"/>
        <v>8.9199269899214353E-2</v>
      </c>
    </row>
    <row r="63" spans="1:3" ht="15" x14ac:dyDescent="0.25">
      <c r="A63" s="186" t="s">
        <v>31</v>
      </c>
      <c r="B63" s="187">
        <v>3267</v>
      </c>
      <c r="C63" s="157">
        <f t="shared" si="2"/>
        <v>0.12963256884374255</v>
      </c>
    </row>
    <row r="64" spans="1:3" ht="15" x14ac:dyDescent="0.25">
      <c r="A64" s="186" t="s">
        <v>98</v>
      </c>
      <c r="B64" s="187">
        <v>51</v>
      </c>
      <c r="C64" s="157">
        <f t="shared" si="2"/>
        <v>2.0236489167526385E-3</v>
      </c>
    </row>
    <row r="65" spans="1:6" ht="15.75" thickBot="1" x14ac:dyDescent="0.3">
      <c r="A65" s="188" t="s">
        <v>3</v>
      </c>
      <c r="B65" s="189">
        <v>729</v>
      </c>
      <c r="C65" s="157">
        <f t="shared" si="2"/>
        <v>2.8926275692405364E-2</v>
      </c>
    </row>
    <row r="66" spans="1:6" ht="15.75" thickBot="1" x14ac:dyDescent="0.3">
      <c r="A66" s="190" t="s">
        <v>137</v>
      </c>
      <c r="B66" s="158">
        <f>SUM(B43:B65)</f>
        <v>25202</v>
      </c>
      <c r="C66" s="183"/>
    </row>
    <row r="68" spans="1:6" ht="18.75" x14ac:dyDescent="0.3">
      <c r="A68" s="172" t="s">
        <v>159</v>
      </c>
      <c r="B68" s="172"/>
      <c r="C68" s="172"/>
      <c r="D68" s="172"/>
    </row>
    <row r="69" spans="1:6" ht="15" x14ac:dyDescent="0.25">
      <c r="A69" s="174" t="s">
        <v>18</v>
      </c>
      <c r="E69" s="449" t="s">
        <v>152</v>
      </c>
      <c r="F69" s="449"/>
    </row>
    <row r="70" spans="1:6" ht="15" x14ac:dyDescent="0.25">
      <c r="A70" s="191" t="s">
        <v>160</v>
      </c>
      <c r="B70" s="191" t="s">
        <v>103</v>
      </c>
      <c r="C70" s="176" t="s">
        <v>105</v>
      </c>
      <c r="E70" s="175" t="s">
        <v>157</v>
      </c>
      <c r="F70" s="177" t="s">
        <v>105</v>
      </c>
    </row>
    <row r="71" spans="1:6" ht="15" x14ac:dyDescent="0.25">
      <c r="A71" s="192" t="s">
        <v>14</v>
      </c>
      <c r="B71" s="193">
        <v>3520</v>
      </c>
      <c r="C71" s="157">
        <f>B71/B$84</f>
        <v>7.5224926805291387E-2</v>
      </c>
      <c r="E71" s="199" t="str">
        <f>A83</f>
        <v>PL</v>
      </c>
      <c r="F71" s="200">
        <f>C83</f>
        <v>0.58891287158335648</v>
      </c>
    </row>
    <row r="72" spans="1:6" ht="15" x14ac:dyDescent="0.25">
      <c r="A72" s="192" t="s">
        <v>15</v>
      </c>
      <c r="B72" s="193">
        <v>706</v>
      </c>
      <c r="C72" s="157">
        <f t="shared" ref="C72:C83" si="3">B72/B$84</f>
        <v>1.5087726796743103E-2</v>
      </c>
      <c r="E72" s="199" t="str">
        <f>A79</f>
        <v>IT</v>
      </c>
      <c r="F72" s="200">
        <f>C79</f>
        <v>0.12446306071420939</v>
      </c>
    </row>
    <row r="73" spans="1:6" ht="15" x14ac:dyDescent="0.25">
      <c r="A73" s="192" t="s">
        <v>16</v>
      </c>
      <c r="B73" s="193">
        <v>325</v>
      </c>
      <c r="C73" s="157">
        <f t="shared" si="3"/>
        <v>6.9454832987840059E-3</v>
      </c>
      <c r="E73" s="199" t="str">
        <f>A71</f>
        <v>AT</v>
      </c>
      <c r="F73" s="200">
        <f>C71</f>
        <v>7.5224926805291387E-2</v>
      </c>
    </row>
    <row r="74" spans="1:6" ht="15" x14ac:dyDescent="0.25">
      <c r="A74" s="192" t="s">
        <v>17</v>
      </c>
      <c r="B74" s="193">
        <v>331</v>
      </c>
      <c r="C74" s="157">
        <f t="shared" si="3"/>
        <v>7.0737076058384803E-3</v>
      </c>
      <c r="E74" s="199" t="str">
        <f>A77</f>
        <v>FR</v>
      </c>
      <c r="F74" s="200">
        <f>C77</f>
        <v>7.4348727373752491E-2</v>
      </c>
    </row>
    <row r="75" spans="1:6" ht="15" x14ac:dyDescent="0.25">
      <c r="A75" s="192" t="s">
        <v>19</v>
      </c>
      <c r="B75" s="193">
        <v>279</v>
      </c>
      <c r="C75" s="157">
        <f t="shared" si="3"/>
        <v>5.9624302780330388E-3</v>
      </c>
      <c r="E75" s="199" t="s">
        <v>153</v>
      </c>
      <c r="F75" s="200">
        <f>C72+C73+C74+C75+C78+C80+C81+C82</f>
        <v>9.8689974996260116E-2</v>
      </c>
    </row>
    <row r="76" spans="1:6" ht="15" x14ac:dyDescent="0.25">
      <c r="A76" s="192" t="s">
        <v>21</v>
      </c>
      <c r="B76" s="193">
        <v>1795</v>
      </c>
      <c r="C76" s="157">
        <f t="shared" si="3"/>
        <v>3.8360438527130128E-2</v>
      </c>
    </row>
    <row r="77" spans="1:6" ht="15" x14ac:dyDescent="0.25">
      <c r="A77" s="192" t="s">
        <v>23</v>
      </c>
      <c r="B77" s="193">
        <v>3479</v>
      </c>
      <c r="C77" s="157">
        <f t="shared" si="3"/>
        <v>7.4348727373752491E-2</v>
      </c>
    </row>
    <row r="78" spans="1:6" ht="15" x14ac:dyDescent="0.25">
      <c r="A78" s="192" t="s">
        <v>24</v>
      </c>
      <c r="B78" s="193">
        <v>1369</v>
      </c>
      <c r="C78" s="157">
        <f t="shared" si="3"/>
        <v>2.9256512726262476E-2</v>
      </c>
    </row>
    <row r="79" spans="1:6" ht="15" x14ac:dyDescent="0.25">
      <c r="A79" s="192" t="s">
        <v>82</v>
      </c>
      <c r="B79" s="193">
        <v>5824</v>
      </c>
      <c r="C79" s="157">
        <f t="shared" si="3"/>
        <v>0.12446306071420939</v>
      </c>
    </row>
    <row r="80" spans="1:6" ht="15" x14ac:dyDescent="0.25">
      <c r="A80" s="192" t="s">
        <v>27</v>
      </c>
      <c r="B80" s="193">
        <v>1163</v>
      </c>
      <c r="C80" s="157">
        <f t="shared" si="3"/>
        <v>2.4854144850725537E-2</v>
      </c>
    </row>
    <row r="81" spans="1:6" ht="15" x14ac:dyDescent="0.25">
      <c r="A81" s="192" t="s">
        <v>96</v>
      </c>
      <c r="B81" s="193">
        <v>37</v>
      </c>
      <c r="C81" s="157">
        <f t="shared" si="3"/>
        <v>7.9071656016925604E-4</v>
      </c>
    </row>
    <row r="82" spans="1:6" ht="15" x14ac:dyDescent="0.25">
      <c r="A82" s="192" t="s">
        <v>29</v>
      </c>
      <c r="B82" s="193">
        <v>408</v>
      </c>
      <c r="C82" s="157">
        <f t="shared" si="3"/>
        <v>8.7192528797042299E-3</v>
      </c>
    </row>
    <row r="83" spans="1:6" ht="15.75" thickBot="1" x14ac:dyDescent="0.3">
      <c r="A83" s="194" t="s">
        <v>30</v>
      </c>
      <c r="B83" s="195">
        <v>27557</v>
      </c>
      <c r="C83" s="157">
        <f t="shared" si="3"/>
        <v>0.58891287158335648</v>
      </c>
    </row>
    <row r="84" spans="1:6" ht="15.75" thickBot="1" x14ac:dyDescent="0.3">
      <c r="A84" s="196" t="s">
        <v>137</v>
      </c>
      <c r="B84" s="158">
        <f>SUM(B71:B83)</f>
        <v>46793</v>
      </c>
      <c r="C84" s="198"/>
    </row>
    <row r="86" spans="1:6" ht="15" x14ac:dyDescent="0.25">
      <c r="A86" s="184" t="s">
        <v>82</v>
      </c>
      <c r="E86" s="449" t="s">
        <v>162</v>
      </c>
      <c r="F86" s="449"/>
    </row>
    <row r="87" spans="1:6" ht="15" x14ac:dyDescent="0.25">
      <c r="A87" s="191" t="s">
        <v>160</v>
      </c>
      <c r="B87" s="191" t="s">
        <v>103</v>
      </c>
      <c r="C87" s="176" t="s">
        <v>105</v>
      </c>
      <c r="E87" s="175" t="s">
        <v>157</v>
      </c>
      <c r="F87" s="177" t="s">
        <v>105</v>
      </c>
    </row>
    <row r="88" spans="1:6" ht="15" x14ac:dyDescent="0.25">
      <c r="A88" s="192" t="s">
        <v>14</v>
      </c>
      <c r="B88" s="193">
        <v>640</v>
      </c>
      <c r="C88" s="157">
        <f>B88/B$104</f>
        <v>1.5282122304735071E-2</v>
      </c>
      <c r="D88" s="199"/>
      <c r="E88" s="199" t="str">
        <f>A103</f>
        <v>RO</v>
      </c>
      <c r="F88" s="200">
        <f>C103</f>
        <v>0.53188949115308393</v>
      </c>
    </row>
    <row r="89" spans="1:6" ht="15" x14ac:dyDescent="0.25">
      <c r="A89" s="192" t="s">
        <v>15</v>
      </c>
      <c r="B89" s="193">
        <v>1363</v>
      </c>
      <c r="C89" s="157">
        <f t="shared" ref="C89:C103" si="4">B89/B$104</f>
        <v>3.2546144845865467E-2</v>
      </c>
      <c r="D89" s="199"/>
      <c r="E89" s="199" t="str">
        <f>A102</f>
        <v>PL</v>
      </c>
      <c r="F89" s="200">
        <f>C102</f>
        <v>0.12927720337161824</v>
      </c>
    </row>
    <row r="90" spans="1:6" ht="15" x14ac:dyDescent="0.25">
      <c r="A90" s="192" t="s">
        <v>16</v>
      </c>
      <c r="B90" s="193">
        <v>5062</v>
      </c>
      <c r="C90" s="157">
        <f t="shared" si="4"/>
        <v>0.12087203610401394</v>
      </c>
      <c r="D90" s="199"/>
      <c r="E90" s="200" t="str">
        <f>A90</f>
        <v>BG</v>
      </c>
      <c r="F90" s="200">
        <f>C90</f>
        <v>0.12087203610401394</v>
      </c>
    </row>
    <row r="91" spans="1:6" ht="15" x14ac:dyDescent="0.25">
      <c r="A91" s="192" t="s">
        <v>17</v>
      </c>
      <c r="B91" s="193">
        <v>247</v>
      </c>
      <c r="C91" s="157">
        <f t="shared" si="4"/>
        <v>5.8979440769836907E-3</v>
      </c>
      <c r="D91" s="199"/>
      <c r="E91" s="200" t="str">
        <f>A96</f>
        <v>FR</v>
      </c>
      <c r="F91" s="200">
        <f>C96</f>
        <v>3.741732133049977E-2</v>
      </c>
    </row>
    <row r="92" spans="1:6" ht="15" x14ac:dyDescent="0.25">
      <c r="A92" s="192" t="s">
        <v>18</v>
      </c>
      <c r="B92" s="193">
        <v>647</v>
      </c>
      <c r="C92" s="157">
        <f t="shared" si="4"/>
        <v>1.544927051744311E-2</v>
      </c>
      <c r="D92" s="199"/>
      <c r="E92" s="199" t="s">
        <v>161</v>
      </c>
      <c r="F92" s="200">
        <f>C88+C89+C91+C92+C93+C94+C95+C97+C98+C99+C100+C101</f>
        <v>0.18054394804078419</v>
      </c>
    </row>
    <row r="93" spans="1:6" ht="15" x14ac:dyDescent="0.25">
      <c r="A93" s="192" t="s">
        <v>19</v>
      </c>
      <c r="B93" s="193">
        <v>116</v>
      </c>
      <c r="C93" s="157">
        <f t="shared" si="4"/>
        <v>2.7698846677332314E-3</v>
      </c>
      <c r="D93" s="199"/>
      <c r="E93" s="199"/>
      <c r="F93" s="199"/>
    </row>
    <row r="94" spans="1:6" ht="15" x14ac:dyDescent="0.25">
      <c r="A94" s="192" t="s">
        <v>20</v>
      </c>
      <c r="B94" s="193">
        <v>151</v>
      </c>
      <c r="C94" s="157">
        <f t="shared" si="4"/>
        <v>3.6056257312734306E-3</v>
      </c>
      <c r="D94" s="199"/>
      <c r="E94" s="199"/>
      <c r="F94" s="199"/>
    </row>
    <row r="95" spans="1:6" ht="15" x14ac:dyDescent="0.25">
      <c r="A95" s="192" t="s">
        <v>21</v>
      </c>
      <c r="B95" s="193">
        <v>617</v>
      </c>
      <c r="C95" s="157">
        <f t="shared" si="4"/>
        <v>1.4732921034408654E-2</v>
      </c>
      <c r="D95" s="199"/>
      <c r="E95" s="199"/>
      <c r="F95" s="199"/>
    </row>
    <row r="96" spans="1:6" ht="15" x14ac:dyDescent="0.25">
      <c r="A96" s="192" t="s">
        <v>23</v>
      </c>
      <c r="B96" s="193">
        <v>1567</v>
      </c>
      <c r="C96" s="157">
        <f t="shared" si="4"/>
        <v>3.741732133049977E-2</v>
      </c>
      <c r="D96" s="199"/>
      <c r="E96" s="199"/>
      <c r="F96" s="199"/>
    </row>
    <row r="97" spans="1:6" ht="15" x14ac:dyDescent="0.25">
      <c r="A97" s="192" t="s">
        <v>24</v>
      </c>
      <c r="B97" s="193">
        <v>1441</v>
      </c>
      <c r="C97" s="157">
        <f t="shared" si="4"/>
        <v>3.4408653501755058E-2</v>
      </c>
      <c r="D97" s="199"/>
      <c r="E97" s="199"/>
      <c r="F97" s="199"/>
    </row>
    <row r="98" spans="1:6" ht="15" x14ac:dyDescent="0.25">
      <c r="A98" s="192" t="s">
        <v>27</v>
      </c>
      <c r="B98" s="193">
        <v>1485</v>
      </c>
      <c r="C98" s="157">
        <f t="shared" si="4"/>
        <v>3.5459299410205591E-2</v>
      </c>
      <c r="D98" s="199"/>
      <c r="E98" s="199"/>
      <c r="F98" s="199"/>
    </row>
    <row r="99" spans="1:6" ht="15" x14ac:dyDescent="0.25">
      <c r="A99" s="192" t="s">
        <v>96</v>
      </c>
      <c r="B99" s="193">
        <v>8</v>
      </c>
      <c r="C99" s="157">
        <f t="shared" si="4"/>
        <v>1.9102652880918837E-4</v>
      </c>
      <c r="D99" s="199"/>
      <c r="E99" s="199"/>
      <c r="F99" s="199"/>
    </row>
    <row r="100" spans="1:6" ht="15" x14ac:dyDescent="0.25">
      <c r="A100" s="192" t="s">
        <v>28</v>
      </c>
      <c r="B100" s="193">
        <v>306</v>
      </c>
      <c r="C100" s="157">
        <f t="shared" si="4"/>
        <v>7.3067647269514551E-3</v>
      </c>
      <c r="D100" s="199"/>
      <c r="E100" s="199"/>
      <c r="F100" s="199"/>
    </row>
    <row r="101" spans="1:6" ht="15" x14ac:dyDescent="0.25">
      <c r="A101" s="192" t="s">
        <v>29</v>
      </c>
      <c r="B101" s="193">
        <v>540</v>
      </c>
      <c r="C101" s="157">
        <f t="shared" si="4"/>
        <v>1.2894290694620215E-2</v>
      </c>
      <c r="D101" s="199"/>
      <c r="E101" s="199"/>
      <c r="F101" s="199"/>
    </row>
    <row r="102" spans="1:6" ht="15" x14ac:dyDescent="0.25">
      <c r="A102" s="192" t="s">
        <v>30</v>
      </c>
      <c r="B102" s="193">
        <v>5414</v>
      </c>
      <c r="C102" s="157">
        <f t="shared" si="4"/>
        <v>0.12927720337161824</v>
      </c>
      <c r="D102" s="199"/>
      <c r="E102" s="199"/>
      <c r="F102" s="199"/>
    </row>
    <row r="103" spans="1:6" ht="15.75" thickBot="1" x14ac:dyDescent="0.3">
      <c r="A103" s="194" t="s">
        <v>31</v>
      </c>
      <c r="B103" s="195">
        <v>22275</v>
      </c>
      <c r="C103" s="157">
        <f t="shared" si="4"/>
        <v>0.53188949115308393</v>
      </c>
      <c r="D103" s="199"/>
      <c r="E103" s="199"/>
      <c r="F103" s="199"/>
    </row>
    <row r="104" spans="1:6" ht="15.75" thickBot="1" x14ac:dyDescent="0.3">
      <c r="A104" s="196" t="s">
        <v>137</v>
      </c>
      <c r="B104" s="158">
        <f>SUM(B88:B103)</f>
        <v>41879</v>
      </c>
      <c r="C104" s="183"/>
    </row>
    <row r="106" spans="1:6" ht="15" x14ac:dyDescent="0.25">
      <c r="A106" s="184" t="s">
        <v>24</v>
      </c>
      <c r="E106" s="173" t="s">
        <v>163</v>
      </c>
    </row>
    <row r="107" spans="1:6" ht="15" x14ac:dyDescent="0.25">
      <c r="A107" s="191" t="s">
        <v>160</v>
      </c>
      <c r="B107" s="191" t="s">
        <v>103</v>
      </c>
      <c r="C107" s="176" t="s">
        <v>105</v>
      </c>
      <c r="E107" s="175" t="s">
        <v>157</v>
      </c>
      <c r="F107" s="177" t="s">
        <v>105</v>
      </c>
    </row>
    <row r="108" spans="1:6" ht="15" x14ac:dyDescent="0.25">
      <c r="A108" s="192" t="s">
        <v>14</v>
      </c>
      <c r="B108" s="193">
        <v>30</v>
      </c>
      <c r="C108" s="157">
        <f>B108/B$126</f>
        <v>8.088433540037746E-4</v>
      </c>
      <c r="D108" s="199"/>
      <c r="E108" s="199" t="str">
        <f>A123</f>
        <v>PL</v>
      </c>
      <c r="F108" s="200">
        <f>C123</f>
        <v>0.28598004853060122</v>
      </c>
    </row>
    <row r="109" spans="1:6" ht="15" x14ac:dyDescent="0.25">
      <c r="A109" s="192" t="s">
        <v>15</v>
      </c>
      <c r="B109" s="193">
        <v>139</v>
      </c>
      <c r="C109" s="157">
        <f t="shared" ref="C109:C125" si="5">B109/B$126</f>
        <v>3.7476408735508224E-3</v>
      </c>
      <c r="D109" s="199"/>
      <c r="E109" s="199" t="str">
        <f>A124</f>
        <v>RO</v>
      </c>
      <c r="F109" s="200">
        <f>C124</f>
        <v>0.23928282555944999</v>
      </c>
    </row>
    <row r="110" spans="1:6" ht="15" x14ac:dyDescent="0.25">
      <c r="A110" s="192" t="s">
        <v>18</v>
      </c>
      <c r="B110" s="193">
        <v>676</v>
      </c>
      <c r="C110" s="157">
        <f t="shared" si="5"/>
        <v>1.8225936910218388E-2</v>
      </c>
      <c r="D110" s="199"/>
      <c r="E110" s="199" t="str">
        <f>A120</f>
        <v>LT</v>
      </c>
      <c r="F110" s="200">
        <f>C120</f>
        <v>0.18349959557832299</v>
      </c>
    </row>
    <row r="111" spans="1:6" ht="15" x14ac:dyDescent="0.25">
      <c r="A111" s="192" t="s">
        <v>19</v>
      </c>
      <c r="B111" s="193">
        <v>25</v>
      </c>
      <c r="C111" s="157">
        <f t="shared" si="5"/>
        <v>6.7403612833647885E-4</v>
      </c>
      <c r="D111" s="199"/>
      <c r="E111" s="200" t="str">
        <f>A121</f>
        <v>LV</v>
      </c>
      <c r="F111" s="200">
        <f>C121</f>
        <v>9.0159072526287409E-2</v>
      </c>
    </row>
    <row r="112" spans="1:6" ht="15" x14ac:dyDescent="0.25">
      <c r="A112" s="192" t="s">
        <v>20</v>
      </c>
      <c r="B112" s="193">
        <v>259</v>
      </c>
      <c r="C112" s="157">
        <f t="shared" si="5"/>
        <v>6.9830142895659208E-3</v>
      </c>
      <c r="D112" s="199"/>
      <c r="E112" s="200" t="str">
        <f>A118</f>
        <v>IE</v>
      </c>
      <c r="F112" s="200">
        <f>C118</f>
        <v>8.8487462928012947E-2</v>
      </c>
    </row>
    <row r="113" spans="1:6" ht="15" x14ac:dyDescent="0.25">
      <c r="A113" s="192" t="s">
        <v>21</v>
      </c>
      <c r="B113" s="193">
        <v>454</v>
      </c>
      <c r="C113" s="157">
        <f t="shared" si="5"/>
        <v>1.2240496090590455E-2</v>
      </c>
      <c r="D113" s="199"/>
      <c r="E113" s="199" t="s">
        <v>155</v>
      </c>
      <c r="F113" s="200">
        <f>C108+C109+C110+C111+C112+C113+C114+C115+C116+C117+C119+C122+C125</f>
        <v>0.11259099487732542</v>
      </c>
    </row>
    <row r="114" spans="1:6" ht="15" x14ac:dyDescent="0.25">
      <c r="A114" s="192" t="s">
        <v>22</v>
      </c>
      <c r="B114" s="193">
        <v>21</v>
      </c>
      <c r="C114" s="157">
        <f t="shared" si="5"/>
        <v>5.6619034780264221E-4</v>
      </c>
      <c r="D114" s="199"/>
      <c r="E114" s="199"/>
      <c r="F114" s="199"/>
    </row>
    <row r="115" spans="1:6" ht="15" x14ac:dyDescent="0.25">
      <c r="A115" s="192" t="s">
        <v>23</v>
      </c>
      <c r="B115" s="193">
        <v>825</v>
      </c>
      <c r="C115" s="157">
        <f t="shared" si="5"/>
        <v>2.2243192235103803E-2</v>
      </c>
      <c r="D115" s="199"/>
      <c r="E115" s="199"/>
      <c r="F115" s="199"/>
    </row>
    <row r="116" spans="1:6" ht="15" x14ac:dyDescent="0.25">
      <c r="A116" s="192" t="s">
        <v>25</v>
      </c>
      <c r="B116" s="193">
        <v>112</v>
      </c>
      <c r="C116" s="157">
        <f t="shared" si="5"/>
        <v>3.0196818549474251E-3</v>
      </c>
      <c r="D116" s="199"/>
      <c r="E116" s="199"/>
      <c r="F116" s="199"/>
    </row>
    <row r="117" spans="1:6" ht="15" x14ac:dyDescent="0.25">
      <c r="A117" s="192" t="s">
        <v>2</v>
      </c>
      <c r="B117" s="193">
        <v>399</v>
      </c>
      <c r="C117" s="157">
        <f t="shared" si="5"/>
        <v>1.0757616608250203E-2</v>
      </c>
      <c r="D117" s="199"/>
      <c r="E117" s="199"/>
      <c r="F117" s="199"/>
    </row>
    <row r="118" spans="1:6" ht="15" x14ac:dyDescent="0.25">
      <c r="A118" s="192" t="s">
        <v>26</v>
      </c>
      <c r="B118" s="193">
        <v>3282</v>
      </c>
      <c r="C118" s="157">
        <f t="shared" si="5"/>
        <v>8.8487462928012947E-2</v>
      </c>
      <c r="D118" s="199"/>
      <c r="E118" s="199"/>
      <c r="F118" s="199"/>
    </row>
    <row r="119" spans="1:6" ht="15" x14ac:dyDescent="0.25">
      <c r="A119" s="192" t="s">
        <v>82</v>
      </c>
      <c r="B119" s="193">
        <v>529</v>
      </c>
      <c r="C119" s="157">
        <f t="shared" si="5"/>
        <v>1.4262604475599893E-2</v>
      </c>
      <c r="D119" s="199"/>
      <c r="E119" s="199"/>
      <c r="F119" s="199"/>
    </row>
    <row r="120" spans="1:6" ht="15" x14ac:dyDescent="0.25">
      <c r="A120" s="192" t="s">
        <v>27</v>
      </c>
      <c r="B120" s="193">
        <v>6806</v>
      </c>
      <c r="C120" s="157">
        <f t="shared" si="5"/>
        <v>0.18349959557832299</v>
      </c>
      <c r="D120" s="199"/>
      <c r="E120" s="199"/>
      <c r="F120" s="199"/>
    </row>
    <row r="121" spans="1:6" ht="15" x14ac:dyDescent="0.25">
      <c r="A121" s="192" t="s">
        <v>28</v>
      </c>
      <c r="B121" s="193">
        <v>3344</v>
      </c>
      <c r="C121" s="157">
        <f t="shared" si="5"/>
        <v>9.0159072526287409E-2</v>
      </c>
      <c r="D121" s="199"/>
      <c r="E121" s="199"/>
      <c r="F121" s="199"/>
    </row>
    <row r="122" spans="1:6" ht="15" x14ac:dyDescent="0.25">
      <c r="A122" s="192" t="s">
        <v>29</v>
      </c>
      <c r="B122" s="193">
        <v>539</v>
      </c>
      <c r="C122" s="157">
        <f t="shared" si="5"/>
        <v>1.4532218926934484E-2</v>
      </c>
      <c r="D122" s="199"/>
      <c r="E122" s="199"/>
      <c r="F122" s="199"/>
    </row>
    <row r="123" spans="1:6" ht="15" x14ac:dyDescent="0.25">
      <c r="A123" s="192" t="s">
        <v>30</v>
      </c>
      <c r="B123" s="193">
        <v>10607</v>
      </c>
      <c r="C123" s="157">
        <f t="shared" si="5"/>
        <v>0.28598004853060122</v>
      </c>
      <c r="D123" s="199"/>
      <c r="E123" s="199"/>
      <c r="F123" s="199"/>
    </row>
    <row r="124" spans="1:6" ht="15" x14ac:dyDescent="0.25">
      <c r="A124" s="192" t="s">
        <v>31</v>
      </c>
      <c r="B124" s="193">
        <v>8875</v>
      </c>
      <c r="C124" s="157">
        <f t="shared" si="5"/>
        <v>0.23928282555944999</v>
      </c>
      <c r="D124" s="199"/>
      <c r="E124" s="199"/>
      <c r="F124" s="199"/>
    </row>
    <row r="125" spans="1:6" ht="15.75" thickBot="1" x14ac:dyDescent="0.3">
      <c r="A125" s="194" t="s">
        <v>98</v>
      </c>
      <c r="B125" s="195">
        <v>168</v>
      </c>
      <c r="C125" s="157">
        <f t="shared" si="5"/>
        <v>4.5295227824211377E-3</v>
      </c>
      <c r="D125" s="199"/>
      <c r="E125" s="199"/>
      <c r="F125" s="199"/>
    </row>
    <row r="126" spans="1:6" ht="15.75" thickBot="1" x14ac:dyDescent="0.3">
      <c r="A126" s="197" t="s">
        <v>137</v>
      </c>
      <c r="B126" s="158">
        <f>SUM(B108:B125)</f>
        <v>37090</v>
      </c>
      <c r="C126" s="198"/>
    </row>
  </sheetData>
  <mergeCells count="4">
    <mergeCell ref="E2:F2"/>
    <mergeCell ref="E19:F19"/>
    <mergeCell ref="E69:F69"/>
    <mergeCell ref="E86:F86"/>
  </mergeCells>
  <conditionalFormatting sqref="C4:C16">
    <cfRule type="colorScale" priority="9">
      <colorScale>
        <cfvo type="min"/>
        <cfvo type="max"/>
        <color rgb="FFFCFCFF"/>
        <color rgb="FFF8696B"/>
      </colorScale>
    </cfRule>
    <cfRule type="top10" dxfId="17" priority="13" rank="4"/>
  </conditionalFormatting>
  <conditionalFormatting sqref="C21:C38">
    <cfRule type="colorScale" priority="10">
      <colorScale>
        <cfvo type="min"/>
        <cfvo type="max"/>
        <color rgb="FFFCFCFF"/>
        <color rgb="FFF8696B"/>
      </colorScale>
    </cfRule>
    <cfRule type="top10" dxfId="16" priority="12" rank="4"/>
  </conditionalFormatting>
  <conditionalFormatting sqref="C43:C65">
    <cfRule type="colorScale" priority="7">
      <colorScale>
        <cfvo type="min"/>
        <cfvo type="max"/>
        <color rgb="FFFCFCFF"/>
        <color rgb="FFF8696B"/>
      </colorScale>
    </cfRule>
    <cfRule type="top10" dxfId="15" priority="8" rank="4"/>
  </conditionalFormatting>
  <conditionalFormatting sqref="C71:C83">
    <cfRule type="colorScale" priority="3">
      <colorScale>
        <cfvo type="min"/>
        <cfvo type="max"/>
        <color rgb="FFFCFCFF"/>
        <color rgb="FFF8696B"/>
      </colorScale>
    </cfRule>
    <cfRule type="top10" dxfId="14" priority="6" rank="4"/>
  </conditionalFormatting>
  <conditionalFormatting sqref="C88:C103">
    <cfRule type="colorScale" priority="14">
      <colorScale>
        <cfvo type="min"/>
        <cfvo type="max"/>
        <color rgb="FFFCFCFF"/>
        <color rgb="FFF8696B"/>
      </colorScale>
    </cfRule>
    <cfRule type="top10" dxfId="13" priority="15" rank="4"/>
  </conditionalFormatting>
  <conditionalFormatting sqref="C108:C125">
    <cfRule type="colorScale" priority="16">
      <colorScale>
        <cfvo type="min"/>
        <cfvo type="max"/>
        <color rgb="FFFCFCFF"/>
        <color rgb="FFF8696B"/>
      </colorScale>
    </cfRule>
    <cfRule type="top10" dxfId="12" priority="17" rank="4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53"/>
  <sheetViews>
    <sheetView zoomScaleNormal="100" workbookViewId="0">
      <selection activeCell="A2" sqref="A2"/>
    </sheetView>
  </sheetViews>
  <sheetFormatPr defaultRowHeight="12.75" x14ac:dyDescent="0.2"/>
  <cols>
    <col min="1" max="2" width="9.140625" style="173"/>
    <col min="3" max="3" width="7.140625" style="173" customWidth="1"/>
    <col min="4" max="16384" width="9.140625" style="173"/>
  </cols>
  <sheetData>
    <row r="1" spans="1:6" ht="18.75" x14ac:dyDescent="0.3">
      <c r="A1" s="172" t="s">
        <v>194</v>
      </c>
      <c r="B1" s="172"/>
      <c r="C1" s="172"/>
      <c r="D1" s="172"/>
    </row>
    <row r="2" spans="1:6" ht="15" x14ac:dyDescent="0.25">
      <c r="A2" s="174" t="s">
        <v>195</v>
      </c>
      <c r="E2" s="449" t="s">
        <v>187</v>
      </c>
      <c r="F2" s="449"/>
    </row>
    <row r="3" spans="1:6" ht="15" x14ac:dyDescent="0.25">
      <c r="A3" s="175" t="s">
        <v>160</v>
      </c>
      <c r="B3" s="175" t="s">
        <v>103</v>
      </c>
      <c r="C3" s="176" t="s">
        <v>105</v>
      </c>
      <c r="E3" s="175" t="s">
        <v>157</v>
      </c>
      <c r="F3" s="177" t="s">
        <v>105</v>
      </c>
    </row>
    <row r="4" spans="1:6" ht="15" x14ac:dyDescent="0.25">
      <c r="A4" s="178" t="s">
        <v>14</v>
      </c>
      <c r="B4" s="179">
        <v>5274</v>
      </c>
      <c r="C4" s="157">
        <f>B4/B$24</f>
        <v>5.5126422844958244E-2</v>
      </c>
      <c r="E4" s="199" t="s">
        <v>30</v>
      </c>
      <c r="F4" s="200">
        <f>C22</f>
        <v>0.2611972280001254</v>
      </c>
    </row>
    <row r="5" spans="1:6" ht="15" x14ac:dyDescent="0.25">
      <c r="A5" s="178" t="s">
        <v>15</v>
      </c>
      <c r="B5" s="179">
        <v>1416</v>
      </c>
      <c r="C5" s="157">
        <f t="shared" ref="C5:C23" si="0">B5/B$24</f>
        <v>1.4800723312184466E-2</v>
      </c>
      <c r="E5" s="199" t="s">
        <v>31</v>
      </c>
      <c r="F5" s="200">
        <f>C23</f>
        <v>0.15219868089598729</v>
      </c>
    </row>
    <row r="6" spans="1:6" ht="15" x14ac:dyDescent="0.25">
      <c r="A6" s="178" t="s">
        <v>16</v>
      </c>
      <c r="B6" s="179">
        <v>6278</v>
      </c>
      <c r="C6" s="157">
        <f t="shared" si="0"/>
        <v>6.5620721012637065E-2</v>
      </c>
      <c r="E6" s="199" t="s">
        <v>82</v>
      </c>
      <c r="F6" s="200">
        <f>C17</f>
        <v>0.1262556051468052</v>
      </c>
    </row>
    <row r="7" spans="1:6" ht="15" x14ac:dyDescent="0.25">
      <c r="A7" s="178" t="s">
        <v>17</v>
      </c>
      <c r="B7" s="179">
        <v>6104</v>
      </c>
      <c r="C7" s="157">
        <f t="shared" si="0"/>
        <v>6.3801988063258458E-2</v>
      </c>
      <c r="E7" s="199" t="s">
        <v>23</v>
      </c>
      <c r="F7" s="200">
        <f>C12</f>
        <v>6.6780947204482022E-2</v>
      </c>
    </row>
    <row r="8" spans="1:6" ht="15" x14ac:dyDescent="0.25">
      <c r="A8" s="178" t="s">
        <v>19</v>
      </c>
      <c r="B8" s="179">
        <v>493</v>
      </c>
      <c r="C8" s="157">
        <f t="shared" si="0"/>
        <v>5.153076689906032E-3</v>
      </c>
      <c r="E8" s="199" t="s">
        <v>16</v>
      </c>
      <c r="F8" s="200">
        <f>C6</f>
        <v>6.5620721012637065E-2</v>
      </c>
    </row>
    <row r="9" spans="1:6" ht="15" x14ac:dyDescent="0.25">
      <c r="A9" s="178" t="s">
        <v>20</v>
      </c>
      <c r="B9" s="179">
        <v>82</v>
      </c>
      <c r="C9" s="157">
        <f t="shared" si="0"/>
        <v>8.5710403361520212E-4</v>
      </c>
      <c r="E9" s="199" t="s">
        <v>17</v>
      </c>
      <c r="F9" s="200">
        <f>C7</f>
        <v>6.3801988063258458E-2</v>
      </c>
    </row>
    <row r="10" spans="1:6" ht="15" x14ac:dyDescent="0.25">
      <c r="A10" s="178" t="s">
        <v>21</v>
      </c>
      <c r="B10" s="179">
        <v>3113</v>
      </c>
      <c r="C10" s="157">
        <f t="shared" si="0"/>
        <v>3.2538595812733224E-2</v>
      </c>
      <c r="E10" s="199" t="s">
        <v>186</v>
      </c>
      <c r="F10" s="200">
        <f>C4+C5+C8+C9+C10+C13+C14+C15+C16+C18+C19+C20+C21</f>
        <v>0.26306822339057817</v>
      </c>
    </row>
    <row r="11" spans="1:6" ht="15" x14ac:dyDescent="0.25">
      <c r="A11" s="178" t="s">
        <v>22</v>
      </c>
      <c r="B11" s="179">
        <v>103</v>
      </c>
      <c r="C11" s="157">
        <f t="shared" si="0"/>
        <v>1.0766062861264124E-3</v>
      </c>
    </row>
    <row r="12" spans="1:6" ht="15" x14ac:dyDescent="0.25">
      <c r="A12" s="178" t="s">
        <v>23</v>
      </c>
      <c r="B12" s="179">
        <v>6389</v>
      </c>
      <c r="C12" s="157">
        <f t="shared" si="0"/>
        <v>6.6780947204482022E-2</v>
      </c>
    </row>
    <row r="13" spans="1:6" ht="15" x14ac:dyDescent="0.25">
      <c r="A13" s="178" t="s">
        <v>24</v>
      </c>
      <c r="B13" s="179">
        <v>1933</v>
      </c>
      <c r="C13" s="157">
        <f t="shared" si="0"/>
        <v>2.0204659719246166E-2</v>
      </c>
    </row>
    <row r="14" spans="1:6" ht="15" x14ac:dyDescent="0.25">
      <c r="A14" s="178" t="s">
        <v>95</v>
      </c>
      <c r="B14" s="179">
        <v>2044</v>
      </c>
      <c r="C14" s="157">
        <f t="shared" si="0"/>
        <v>2.1364885911091137E-2</v>
      </c>
    </row>
    <row r="15" spans="1:6" ht="15" x14ac:dyDescent="0.25">
      <c r="A15" s="178" t="s">
        <v>2</v>
      </c>
      <c r="B15" s="179">
        <v>2901</v>
      </c>
      <c r="C15" s="157">
        <f t="shared" si="0"/>
        <v>3.0322668311191479E-2</v>
      </c>
    </row>
    <row r="16" spans="1:6" ht="15" x14ac:dyDescent="0.25">
      <c r="A16" s="180" t="s">
        <v>26</v>
      </c>
      <c r="B16" s="181">
        <v>232</v>
      </c>
      <c r="C16" s="157">
        <f t="shared" si="0"/>
        <v>2.4249772658381328E-3</v>
      </c>
    </row>
    <row r="17" spans="1:6" ht="15" x14ac:dyDescent="0.25">
      <c r="A17" s="244" t="s">
        <v>82</v>
      </c>
      <c r="B17" s="242">
        <v>12079</v>
      </c>
      <c r="C17" s="157">
        <f t="shared" si="0"/>
        <v>0.1262556051468052</v>
      </c>
    </row>
    <row r="18" spans="1:6" ht="15" x14ac:dyDescent="0.25">
      <c r="A18" s="244" t="s">
        <v>27</v>
      </c>
      <c r="B18" s="242">
        <v>2570</v>
      </c>
      <c r="C18" s="157">
        <f t="shared" si="0"/>
        <v>2.6862894712086211E-2</v>
      </c>
    </row>
    <row r="19" spans="1:6" ht="15" x14ac:dyDescent="0.25">
      <c r="A19" s="244" t="s">
        <v>96</v>
      </c>
      <c r="B19" s="242">
        <v>838</v>
      </c>
      <c r="C19" s="157">
        <f t="shared" si="0"/>
        <v>8.7591851240187719E-3</v>
      </c>
    </row>
    <row r="20" spans="1:6" ht="15" x14ac:dyDescent="0.25">
      <c r="A20" s="244" t="s">
        <v>28</v>
      </c>
      <c r="B20" s="242">
        <v>195</v>
      </c>
      <c r="C20" s="157">
        <f t="shared" si="0"/>
        <v>2.0382352018898098E-3</v>
      </c>
    </row>
    <row r="21" spans="1:6" ht="15" x14ac:dyDescent="0.25">
      <c r="A21" s="244" t="s">
        <v>29</v>
      </c>
      <c r="B21" s="242">
        <v>4077</v>
      </c>
      <c r="C21" s="157">
        <f t="shared" si="0"/>
        <v>4.2614794451819253E-2</v>
      </c>
    </row>
    <row r="22" spans="1:6" ht="15" x14ac:dyDescent="0.25">
      <c r="A22" s="244" t="s">
        <v>30</v>
      </c>
      <c r="B22" s="242">
        <v>24989</v>
      </c>
      <c r="C22" s="157">
        <f t="shared" si="0"/>
        <v>0.2611972280001254</v>
      </c>
    </row>
    <row r="23" spans="1:6" ht="15.75" thickBot="1" x14ac:dyDescent="0.3">
      <c r="A23" s="244" t="s">
        <v>31</v>
      </c>
      <c r="B23" s="242">
        <v>14561</v>
      </c>
      <c r="C23" s="157">
        <f t="shared" si="0"/>
        <v>0.15219868089598729</v>
      </c>
    </row>
    <row r="24" spans="1:6" ht="15.75" thickBot="1" x14ac:dyDescent="0.3">
      <c r="A24" s="245" t="s">
        <v>91</v>
      </c>
      <c r="B24" s="198">
        <f>SUM(B4:B23)</f>
        <v>95671</v>
      </c>
      <c r="C24" s="243"/>
    </row>
    <row r="25" spans="1:6" ht="15" x14ac:dyDescent="0.25">
      <c r="A25" s="244"/>
      <c r="B25" s="242"/>
      <c r="C25" s="243"/>
    </row>
    <row r="26" spans="1:6" ht="15" x14ac:dyDescent="0.25">
      <c r="A26" s="184" t="s">
        <v>196</v>
      </c>
      <c r="E26" s="449" t="s">
        <v>163</v>
      </c>
      <c r="F26" s="449"/>
    </row>
    <row r="27" spans="1:6" ht="15" x14ac:dyDescent="0.25">
      <c r="A27" s="185" t="s">
        <v>160</v>
      </c>
      <c r="B27" s="185" t="s">
        <v>103</v>
      </c>
      <c r="C27" s="176" t="s">
        <v>105</v>
      </c>
      <c r="E27" s="175" t="s">
        <v>157</v>
      </c>
      <c r="F27" s="177" t="s">
        <v>105</v>
      </c>
    </row>
    <row r="28" spans="1:6" ht="15" x14ac:dyDescent="0.25">
      <c r="A28" s="186" t="s">
        <v>14</v>
      </c>
      <c r="B28" s="187">
        <v>146</v>
      </c>
      <c r="C28" s="157">
        <f>B28/B$47</f>
        <v>3.7025765875431122E-3</v>
      </c>
      <c r="E28" s="199" t="str">
        <f>A44</f>
        <v>PL</v>
      </c>
      <c r="F28" s="200">
        <f>C44</f>
        <v>0.27335666463785757</v>
      </c>
    </row>
    <row r="29" spans="1:6" ht="15" x14ac:dyDescent="0.25">
      <c r="A29" s="186" t="s">
        <v>15</v>
      </c>
      <c r="B29" s="187">
        <v>449</v>
      </c>
      <c r="C29" s="157">
        <f t="shared" ref="C29:C46" si="1">B29/B$47</f>
        <v>1.1386691012375735E-2</v>
      </c>
      <c r="E29" s="199" t="s">
        <v>31</v>
      </c>
      <c r="F29" s="200">
        <f>C45</f>
        <v>0.20529011969973626</v>
      </c>
    </row>
    <row r="30" spans="1:6" ht="15" x14ac:dyDescent="0.25">
      <c r="A30" s="186" t="s">
        <v>85</v>
      </c>
      <c r="B30" s="187">
        <v>153</v>
      </c>
      <c r="C30" s="157">
        <f t="shared" si="1"/>
        <v>3.8800973828362752E-3</v>
      </c>
      <c r="E30" s="199" t="s">
        <v>27</v>
      </c>
      <c r="F30" s="200">
        <f>C41</f>
        <v>0.1591600730371272</v>
      </c>
    </row>
    <row r="31" spans="1:6" ht="15" x14ac:dyDescent="0.25">
      <c r="A31" s="186" t="s">
        <v>18</v>
      </c>
      <c r="B31" s="187">
        <v>1790</v>
      </c>
      <c r="C31" s="157">
        <f t="shared" si="1"/>
        <v>4.539460336782309E-2</v>
      </c>
      <c r="E31" s="200" t="s">
        <v>28</v>
      </c>
      <c r="F31" s="200">
        <f>C42</f>
        <v>7.5395617772367626E-2</v>
      </c>
    </row>
    <row r="32" spans="1:6" ht="15" x14ac:dyDescent="0.25">
      <c r="A32" s="186" t="s">
        <v>19</v>
      </c>
      <c r="B32" s="187">
        <v>233</v>
      </c>
      <c r="C32" s="157">
        <f t="shared" si="1"/>
        <v>5.9089064719009942E-3</v>
      </c>
      <c r="E32" s="200" t="s">
        <v>26</v>
      </c>
      <c r="F32" s="200">
        <f>C39</f>
        <v>6.6570298234936098E-2</v>
      </c>
    </row>
    <row r="33" spans="1:6" ht="15" x14ac:dyDescent="0.25">
      <c r="A33" s="186" t="s">
        <v>20</v>
      </c>
      <c r="B33" s="187">
        <v>226</v>
      </c>
      <c r="C33" s="157">
        <f t="shared" si="1"/>
        <v>5.7313856766078308E-3</v>
      </c>
      <c r="E33" s="200" t="s">
        <v>186</v>
      </c>
      <c r="F33" s="200">
        <f>C28+C29+C30+C31+C32+C33+C35+C36+C37+C38+C40+C43+C46</f>
        <v>0.19829072834246297</v>
      </c>
    </row>
    <row r="34" spans="1:6" ht="15" x14ac:dyDescent="0.25">
      <c r="A34" s="186" t="s">
        <v>21</v>
      </c>
      <c r="B34" s="187">
        <v>865</v>
      </c>
      <c r="C34" s="157">
        <f t="shared" si="1"/>
        <v>2.1936498275512275E-2</v>
      </c>
    </row>
    <row r="35" spans="1:6" ht="15" x14ac:dyDescent="0.25">
      <c r="A35" s="186" t="s">
        <v>22</v>
      </c>
      <c r="B35" s="187">
        <v>68</v>
      </c>
      <c r="C35" s="157">
        <f t="shared" si="1"/>
        <v>1.7244877257050111E-3</v>
      </c>
    </row>
    <row r="36" spans="1:6" ht="15" x14ac:dyDescent="0.25">
      <c r="A36" s="186" t="s">
        <v>23</v>
      </c>
      <c r="B36" s="187">
        <v>957</v>
      </c>
      <c r="C36" s="157">
        <f t="shared" si="1"/>
        <v>2.4269628727936702E-2</v>
      </c>
    </row>
    <row r="37" spans="1:6" ht="15" x14ac:dyDescent="0.25">
      <c r="A37" s="186" t="s">
        <v>25</v>
      </c>
      <c r="B37" s="187">
        <v>257</v>
      </c>
      <c r="C37" s="157">
        <f t="shared" si="1"/>
        <v>6.5175491986204101E-3</v>
      </c>
    </row>
    <row r="38" spans="1:6" ht="15" x14ac:dyDescent="0.25">
      <c r="A38" s="186" t="s">
        <v>2</v>
      </c>
      <c r="B38" s="187">
        <v>949</v>
      </c>
      <c r="C38" s="157">
        <f t="shared" si="1"/>
        <v>2.4066747819030229E-2</v>
      </c>
    </row>
    <row r="39" spans="1:6" ht="15" x14ac:dyDescent="0.25">
      <c r="A39" s="186" t="s">
        <v>26</v>
      </c>
      <c r="B39" s="187">
        <v>2625</v>
      </c>
      <c r="C39" s="157">
        <f t="shared" si="1"/>
        <v>6.6570298234936098E-2</v>
      </c>
    </row>
    <row r="40" spans="1:6" ht="15" x14ac:dyDescent="0.25">
      <c r="A40" s="186" t="s">
        <v>82</v>
      </c>
      <c r="B40" s="187">
        <v>1442</v>
      </c>
      <c r="C40" s="157">
        <f t="shared" si="1"/>
        <v>3.6569283830391562E-2</v>
      </c>
    </row>
    <row r="41" spans="1:6" ht="15" x14ac:dyDescent="0.25">
      <c r="A41" s="186" t="s">
        <v>27</v>
      </c>
      <c r="B41" s="187">
        <v>6276</v>
      </c>
      <c r="C41" s="157">
        <f t="shared" si="1"/>
        <v>0.1591600730371272</v>
      </c>
    </row>
    <row r="42" spans="1:6" ht="15" x14ac:dyDescent="0.25">
      <c r="A42" s="186" t="s">
        <v>28</v>
      </c>
      <c r="B42" s="187">
        <v>2973</v>
      </c>
      <c r="C42" s="157">
        <f t="shared" si="1"/>
        <v>7.5395617772367626E-2</v>
      </c>
    </row>
    <row r="43" spans="1:6" ht="15" x14ac:dyDescent="0.25">
      <c r="A43" s="186" t="s">
        <v>29</v>
      </c>
      <c r="B43" s="187">
        <v>730</v>
      </c>
      <c r="C43" s="157">
        <f t="shared" si="1"/>
        <v>1.8512882937715559E-2</v>
      </c>
    </row>
    <row r="44" spans="1:6" ht="15" x14ac:dyDescent="0.25">
      <c r="A44" s="186" t="s">
        <v>30</v>
      </c>
      <c r="B44" s="187">
        <v>10779</v>
      </c>
      <c r="C44" s="157">
        <f t="shared" si="1"/>
        <v>0.27335666463785757</v>
      </c>
    </row>
    <row r="45" spans="1:6" ht="15" x14ac:dyDescent="0.25">
      <c r="A45" s="188" t="s">
        <v>31</v>
      </c>
      <c r="B45" s="189">
        <v>8095</v>
      </c>
      <c r="C45" s="157">
        <f t="shared" si="1"/>
        <v>0.20529011969973626</v>
      </c>
    </row>
    <row r="46" spans="1:6" ht="15.75" thickBot="1" x14ac:dyDescent="0.3">
      <c r="A46" s="246" t="s">
        <v>98</v>
      </c>
      <c r="B46" s="247">
        <v>419</v>
      </c>
      <c r="C46" s="157">
        <f t="shared" si="1"/>
        <v>1.0625887603976467E-2</v>
      </c>
    </row>
    <row r="47" spans="1:6" ht="15.75" thickBot="1" x14ac:dyDescent="0.3">
      <c r="A47" s="190" t="s">
        <v>137</v>
      </c>
      <c r="B47" s="158">
        <f>SUM(B28:B46)</f>
        <v>39432</v>
      </c>
      <c r="C47" s="183"/>
    </row>
    <row r="49" spans="1:6" ht="15" x14ac:dyDescent="0.25">
      <c r="A49" s="184" t="s">
        <v>197</v>
      </c>
      <c r="E49" s="173" t="s">
        <v>158</v>
      </c>
    </row>
    <row r="50" spans="1:6" ht="15" x14ac:dyDescent="0.25">
      <c r="A50" s="185" t="s">
        <v>160</v>
      </c>
      <c r="B50" s="185" t="s">
        <v>103</v>
      </c>
      <c r="C50" s="176" t="s">
        <v>105</v>
      </c>
      <c r="E50" s="175" t="s">
        <v>157</v>
      </c>
      <c r="F50" s="177" t="s">
        <v>105</v>
      </c>
    </row>
    <row r="51" spans="1:6" ht="15" x14ac:dyDescent="0.25">
      <c r="A51" s="186" t="s">
        <v>15</v>
      </c>
      <c r="B51" s="187">
        <v>263</v>
      </c>
      <c r="C51" s="157">
        <f>B51/B$75</f>
        <v>9.0642770980527317E-3</v>
      </c>
      <c r="E51" s="199" t="s">
        <v>18</v>
      </c>
      <c r="F51" s="200">
        <f>C55</f>
        <v>0.44363260382560743</v>
      </c>
    </row>
    <row r="52" spans="1:6" ht="15" x14ac:dyDescent="0.25">
      <c r="A52" s="186" t="s">
        <v>16</v>
      </c>
      <c r="B52" s="187">
        <v>464</v>
      </c>
      <c r="C52" s="157">
        <f t="shared" ref="C52:C74" si="2">B52/B$75</f>
        <v>1.5991728416336379E-2</v>
      </c>
      <c r="E52" s="199" t="str">
        <f>A71</f>
        <v>PL</v>
      </c>
      <c r="F52" s="200">
        <f>C71</f>
        <v>8.6127864897466822E-2</v>
      </c>
    </row>
    <row r="53" spans="1:6" ht="15" x14ac:dyDescent="0.25">
      <c r="A53" s="186" t="s">
        <v>85</v>
      </c>
      <c r="B53" s="187">
        <v>12</v>
      </c>
      <c r="C53" s="157">
        <f t="shared" si="2"/>
        <v>4.135791831811132E-4</v>
      </c>
      <c r="E53" s="199" t="s">
        <v>95</v>
      </c>
      <c r="F53" s="200">
        <f>C63</f>
        <v>8.5197311735309325E-2</v>
      </c>
    </row>
    <row r="54" spans="1:6" ht="15" x14ac:dyDescent="0.25">
      <c r="A54" s="186" t="s">
        <v>17</v>
      </c>
      <c r="B54" s="187">
        <v>1179</v>
      </c>
      <c r="C54" s="157">
        <f t="shared" si="2"/>
        <v>4.0634154747544372E-2</v>
      </c>
      <c r="E54" s="200" t="s">
        <v>31</v>
      </c>
      <c r="F54" s="200">
        <f>C72</f>
        <v>7.4134068585214541E-2</v>
      </c>
    </row>
    <row r="55" spans="1:6" ht="15" x14ac:dyDescent="0.25">
      <c r="A55" s="186" t="s">
        <v>18</v>
      </c>
      <c r="B55" s="187">
        <v>12872</v>
      </c>
      <c r="C55" s="157">
        <f t="shared" si="2"/>
        <v>0.44363260382560743</v>
      </c>
      <c r="E55" s="199" t="s">
        <v>188</v>
      </c>
      <c r="F55" s="200">
        <f>C51+C52+C53+C54+C56+C57+C58+C59+C60+C61+C62+C64+C65+C66+C67+C68+C69+C73+C74+C70</f>
        <v>0.31090815095640184</v>
      </c>
    </row>
    <row r="56" spans="1:6" ht="15" x14ac:dyDescent="0.25">
      <c r="A56" s="186" t="s">
        <v>19</v>
      </c>
      <c r="B56" s="187">
        <v>153</v>
      </c>
      <c r="C56" s="157">
        <f t="shared" si="2"/>
        <v>5.2731345855591936E-3</v>
      </c>
    </row>
    <row r="57" spans="1:6" ht="15" x14ac:dyDescent="0.25">
      <c r="A57" s="186" t="s">
        <v>20</v>
      </c>
      <c r="B57" s="187">
        <v>109</v>
      </c>
      <c r="C57" s="157">
        <f t="shared" si="2"/>
        <v>3.7566775805617783E-3</v>
      </c>
    </row>
    <row r="58" spans="1:6" ht="15" x14ac:dyDescent="0.25">
      <c r="A58" s="186" t="s">
        <v>21</v>
      </c>
      <c r="B58" s="187">
        <v>564</v>
      </c>
      <c r="C58" s="157">
        <f t="shared" si="2"/>
        <v>1.9438221609512321E-2</v>
      </c>
    </row>
    <row r="59" spans="1:6" ht="15" x14ac:dyDescent="0.25">
      <c r="A59" s="186" t="s">
        <v>22</v>
      </c>
      <c r="B59" s="187">
        <v>75</v>
      </c>
      <c r="C59" s="157">
        <f t="shared" si="2"/>
        <v>2.5848698948819577E-3</v>
      </c>
    </row>
    <row r="60" spans="1:6" ht="15" x14ac:dyDescent="0.25">
      <c r="A60" s="186" t="s">
        <v>23</v>
      </c>
      <c r="B60" s="187">
        <v>610</v>
      </c>
      <c r="C60" s="157">
        <f t="shared" si="2"/>
        <v>2.1023608478373257E-2</v>
      </c>
    </row>
    <row r="61" spans="1:6" ht="15" x14ac:dyDescent="0.25">
      <c r="A61" s="186" t="s">
        <v>24</v>
      </c>
      <c r="B61" s="187">
        <v>624</v>
      </c>
      <c r="C61" s="157">
        <f t="shared" si="2"/>
        <v>2.1506117525417888E-2</v>
      </c>
    </row>
    <row r="62" spans="1:6" ht="15" x14ac:dyDescent="0.25">
      <c r="A62" s="186" t="s">
        <v>25</v>
      </c>
      <c r="B62" s="187">
        <v>329</v>
      </c>
      <c r="C62" s="157">
        <f t="shared" si="2"/>
        <v>1.1338962605548853E-2</v>
      </c>
    </row>
    <row r="63" spans="1:6" ht="15" x14ac:dyDescent="0.25">
      <c r="A63" s="186" t="s">
        <v>95</v>
      </c>
      <c r="B63" s="187">
        <v>2472</v>
      </c>
      <c r="C63" s="157">
        <f t="shared" si="2"/>
        <v>8.5197311735309325E-2</v>
      </c>
    </row>
    <row r="64" spans="1:6" ht="15" x14ac:dyDescent="0.25">
      <c r="A64" s="186" t="s">
        <v>2</v>
      </c>
      <c r="B64" s="187">
        <v>1393</v>
      </c>
      <c r="C64" s="157">
        <f t="shared" si="2"/>
        <v>4.8009650180940895E-2</v>
      </c>
    </row>
    <row r="65" spans="1:6" ht="15" x14ac:dyDescent="0.25">
      <c r="A65" s="186" t="s">
        <v>26</v>
      </c>
      <c r="B65" s="187">
        <v>62</v>
      </c>
      <c r="C65" s="157">
        <f t="shared" si="2"/>
        <v>2.136825779769085E-3</v>
      </c>
    </row>
    <row r="66" spans="1:6" ht="15" x14ac:dyDescent="0.25">
      <c r="A66" s="186" t="s">
        <v>82</v>
      </c>
      <c r="B66" s="187">
        <v>1240</v>
      </c>
      <c r="C66" s="157">
        <f t="shared" si="2"/>
        <v>4.2736515595381698E-2</v>
      </c>
    </row>
    <row r="67" spans="1:6" ht="15" x14ac:dyDescent="0.25">
      <c r="A67" s="186" t="s">
        <v>27</v>
      </c>
      <c r="B67" s="187">
        <v>228</v>
      </c>
      <c r="C67" s="157">
        <f t="shared" si="2"/>
        <v>7.8580044804411504E-3</v>
      </c>
    </row>
    <row r="68" spans="1:6" ht="15" x14ac:dyDescent="0.25">
      <c r="A68" s="186" t="s">
        <v>96</v>
      </c>
      <c r="B68" s="187">
        <v>94</v>
      </c>
      <c r="C68" s="157">
        <f t="shared" si="2"/>
        <v>3.239703601585387E-3</v>
      </c>
    </row>
    <row r="69" spans="1:6" ht="15" x14ac:dyDescent="0.25">
      <c r="A69" s="186" t="s">
        <v>28</v>
      </c>
      <c r="B69" s="187">
        <v>146</v>
      </c>
      <c r="C69" s="157">
        <f t="shared" si="2"/>
        <v>5.0318800620368772E-3</v>
      </c>
    </row>
    <row r="70" spans="1:6" ht="15" x14ac:dyDescent="0.25">
      <c r="A70" s="186" t="s">
        <v>29</v>
      </c>
      <c r="B70" s="187">
        <v>307</v>
      </c>
      <c r="C70" s="157">
        <f t="shared" si="2"/>
        <v>1.0580734103050146E-2</v>
      </c>
    </row>
    <row r="71" spans="1:6" ht="15" x14ac:dyDescent="0.25">
      <c r="A71" s="186" t="s">
        <v>30</v>
      </c>
      <c r="B71" s="187">
        <v>2499</v>
      </c>
      <c r="C71" s="157">
        <f t="shared" si="2"/>
        <v>8.6127864897466822E-2</v>
      </c>
    </row>
    <row r="72" spans="1:6" ht="15" x14ac:dyDescent="0.25">
      <c r="A72" s="186" t="s">
        <v>31</v>
      </c>
      <c r="B72" s="187">
        <v>2151</v>
      </c>
      <c r="C72" s="157">
        <f t="shared" si="2"/>
        <v>7.4134068585214541E-2</v>
      </c>
    </row>
    <row r="73" spans="1:6" ht="15" x14ac:dyDescent="0.25">
      <c r="A73" s="188" t="s">
        <v>98</v>
      </c>
      <c r="B73" s="189">
        <v>176</v>
      </c>
      <c r="C73" s="157">
        <f t="shared" si="2"/>
        <v>6.0658280199896606E-3</v>
      </c>
    </row>
    <row r="74" spans="1:6" ht="15.75" thickBot="1" x14ac:dyDescent="0.3">
      <c r="A74" s="246" t="s">
        <v>3</v>
      </c>
      <c r="B74" s="247">
        <v>993</v>
      </c>
      <c r="C74" s="157">
        <f t="shared" si="2"/>
        <v>3.4223677408237119E-2</v>
      </c>
    </row>
    <row r="75" spans="1:6" ht="15.75" thickBot="1" x14ac:dyDescent="0.3">
      <c r="A75" s="190" t="s">
        <v>137</v>
      </c>
      <c r="B75" s="158">
        <f>SUM(B51:B74)</f>
        <v>29015</v>
      </c>
      <c r="C75" s="183"/>
    </row>
    <row r="77" spans="1:6" ht="18.75" x14ac:dyDescent="0.3">
      <c r="A77" s="172" t="s">
        <v>198</v>
      </c>
      <c r="B77" s="172"/>
      <c r="C77" s="172"/>
      <c r="D77" s="172"/>
    </row>
    <row r="78" spans="1:6" ht="15" x14ac:dyDescent="0.25">
      <c r="A78" s="174" t="s">
        <v>195</v>
      </c>
      <c r="E78" s="449" t="s">
        <v>152</v>
      </c>
      <c r="F78" s="449"/>
    </row>
    <row r="79" spans="1:6" ht="15" x14ac:dyDescent="0.25">
      <c r="A79" s="191" t="s">
        <v>160</v>
      </c>
      <c r="B79" s="191" t="s">
        <v>103</v>
      </c>
      <c r="C79" s="176" t="s">
        <v>105</v>
      </c>
      <c r="E79" s="175" t="s">
        <v>157</v>
      </c>
      <c r="F79" s="177" t="s">
        <v>105</v>
      </c>
    </row>
    <row r="80" spans="1:6" ht="15" x14ac:dyDescent="0.25">
      <c r="A80" s="192" t="s">
        <v>14</v>
      </c>
      <c r="B80" s="193">
        <v>2903</v>
      </c>
      <c r="C80" s="157">
        <f t="shared" ref="C80:C100" si="3">B80/B$101</f>
        <v>2.7277169112810778E-2</v>
      </c>
      <c r="E80" s="199" t="s">
        <v>30</v>
      </c>
      <c r="F80" s="200">
        <f>C98</f>
        <v>0.2662883130062203</v>
      </c>
    </row>
    <row r="81" spans="1:6" ht="15" x14ac:dyDescent="0.25">
      <c r="A81" s="192" t="s">
        <v>15</v>
      </c>
      <c r="B81" s="193">
        <v>818</v>
      </c>
      <c r="C81" s="157">
        <f t="shared" si="3"/>
        <v>7.6860917444985244E-3</v>
      </c>
      <c r="E81" s="199" t="s">
        <v>31</v>
      </c>
      <c r="F81" s="200">
        <f>C99</f>
        <v>0.21759720369082744</v>
      </c>
    </row>
    <row r="82" spans="1:6" ht="15" x14ac:dyDescent="0.25">
      <c r="A82" s="192" t="s">
        <v>16</v>
      </c>
      <c r="B82" s="193">
        <v>8488</v>
      </c>
      <c r="C82" s="157">
        <f t="shared" si="3"/>
        <v>7.9754947099393E-2</v>
      </c>
      <c r="E82" s="199" t="s">
        <v>82</v>
      </c>
      <c r="F82" s="200">
        <f>C93</f>
        <v>0.12528893315543194</v>
      </c>
    </row>
    <row r="83" spans="1:6" ht="15" x14ac:dyDescent="0.25">
      <c r="A83" s="192" t="s">
        <v>17</v>
      </c>
      <c r="B83" s="193">
        <v>3054</v>
      </c>
      <c r="C83" s="157">
        <f t="shared" si="3"/>
        <v>2.8695995339484713E-2</v>
      </c>
      <c r="E83" s="199" t="s">
        <v>16</v>
      </c>
      <c r="F83" s="200">
        <f>C82</f>
        <v>7.9754947099393E-2</v>
      </c>
    </row>
    <row r="84" spans="1:6" ht="15" x14ac:dyDescent="0.25">
      <c r="A84" s="192" t="s">
        <v>19</v>
      </c>
      <c r="B84" s="193">
        <v>321</v>
      </c>
      <c r="C84" s="157">
        <f t="shared" si="3"/>
        <v>3.016180256704189E-3</v>
      </c>
      <c r="E84" s="199" t="s">
        <v>183</v>
      </c>
      <c r="F84" s="200">
        <f>C80+C81+C83+C84+C85+C86+C87+C88+C89+C90+C91+C92+C94+C95+C96+C97+C100</f>
        <v>0.31107060304812734</v>
      </c>
    </row>
    <row r="85" spans="1:6" ht="15" x14ac:dyDescent="0.25">
      <c r="A85" s="192" t="s">
        <v>20</v>
      </c>
      <c r="B85" s="193">
        <v>268</v>
      </c>
      <c r="C85" s="157">
        <f t="shared" si="3"/>
        <v>2.5181816473418151E-3</v>
      </c>
    </row>
    <row r="86" spans="1:6" ht="15" x14ac:dyDescent="0.25">
      <c r="A86" s="192" t="s">
        <v>21</v>
      </c>
      <c r="B86" s="193">
        <v>2003</v>
      </c>
      <c r="C86" s="157">
        <f t="shared" si="3"/>
        <v>1.8820588953827072E-2</v>
      </c>
    </row>
    <row r="87" spans="1:6" ht="15" x14ac:dyDescent="0.25">
      <c r="A87" s="192" t="s">
        <v>22</v>
      </c>
      <c r="B87" s="193">
        <v>73</v>
      </c>
      <c r="C87" s="157">
        <f t="shared" si="3"/>
        <v>6.859226128953451E-4</v>
      </c>
    </row>
    <row r="88" spans="1:6" ht="15" x14ac:dyDescent="0.25">
      <c r="A88" s="192" t="s">
        <v>23</v>
      </c>
      <c r="B88" s="193">
        <v>4249</v>
      </c>
      <c r="C88" s="157">
        <f t="shared" si="3"/>
        <v>3.9924454550579747E-2</v>
      </c>
    </row>
    <row r="89" spans="1:6" ht="15" x14ac:dyDescent="0.25">
      <c r="A89" s="192" t="s">
        <v>24</v>
      </c>
      <c r="B89" s="193">
        <v>1451</v>
      </c>
      <c r="C89" s="157">
        <f t="shared" si="3"/>
        <v>1.3633886456317065E-2</v>
      </c>
    </row>
    <row r="90" spans="1:6" ht="15" x14ac:dyDescent="0.25">
      <c r="A90" s="192" t="s">
        <v>95</v>
      </c>
      <c r="B90" s="193">
        <v>6505</v>
      </c>
      <c r="C90" s="157">
        <f t="shared" si="3"/>
        <v>6.1122282149098907E-2</v>
      </c>
    </row>
    <row r="91" spans="1:6" ht="15" x14ac:dyDescent="0.25">
      <c r="A91" s="192" t="s">
        <v>2</v>
      </c>
      <c r="B91" s="193">
        <v>3031</v>
      </c>
      <c r="C91" s="157">
        <f t="shared" si="3"/>
        <v>2.8479882735421794E-2</v>
      </c>
    </row>
    <row r="92" spans="1:6" ht="15" x14ac:dyDescent="0.25">
      <c r="A92" s="194" t="s">
        <v>26</v>
      </c>
      <c r="B92" s="195">
        <v>157</v>
      </c>
      <c r="C92" s="157">
        <f t="shared" si="3"/>
        <v>1.4752034277338245E-3</v>
      </c>
    </row>
    <row r="93" spans="1:6" ht="15" x14ac:dyDescent="0.25">
      <c r="A93" s="241" t="s">
        <v>82</v>
      </c>
      <c r="B93" s="242">
        <v>13334</v>
      </c>
      <c r="C93" s="157">
        <f t="shared" si="3"/>
        <v>0.12528893315543194</v>
      </c>
    </row>
    <row r="94" spans="1:6" ht="15" x14ac:dyDescent="0.25">
      <c r="A94" s="241" t="s">
        <v>27</v>
      </c>
      <c r="B94" s="242">
        <v>2901</v>
      </c>
      <c r="C94" s="157">
        <f t="shared" si="3"/>
        <v>2.7258376712457483E-2</v>
      </c>
    </row>
    <row r="95" spans="1:6" ht="15" x14ac:dyDescent="0.25">
      <c r="A95" s="241" t="s">
        <v>96</v>
      </c>
      <c r="B95" s="242">
        <v>279</v>
      </c>
      <c r="C95" s="157">
        <f t="shared" si="3"/>
        <v>2.6215398492849492E-3</v>
      </c>
    </row>
    <row r="96" spans="1:6" ht="15" x14ac:dyDescent="0.25">
      <c r="A96" s="241" t="s">
        <v>28</v>
      </c>
      <c r="B96" s="242">
        <v>611</v>
      </c>
      <c r="C96" s="157">
        <f t="shared" si="3"/>
        <v>5.7410783079322718E-3</v>
      </c>
    </row>
    <row r="97" spans="1:6" ht="15" x14ac:dyDescent="0.25">
      <c r="A97" s="241" t="s">
        <v>29</v>
      </c>
      <c r="B97" s="242">
        <v>4480</v>
      </c>
      <c r="C97" s="157">
        <f t="shared" si="3"/>
        <v>4.209497679138556E-2</v>
      </c>
    </row>
    <row r="98" spans="1:6" ht="15" x14ac:dyDescent="0.25">
      <c r="A98" s="241" t="s">
        <v>30</v>
      </c>
      <c r="B98" s="242">
        <v>28340</v>
      </c>
      <c r="C98" s="157">
        <f t="shared" si="3"/>
        <v>0.2662883130062203</v>
      </c>
    </row>
    <row r="99" spans="1:6" ht="15" x14ac:dyDescent="0.25">
      <c r="A99" s="241" t="s">
        <v>31</v>
      </c>
      <c r="B99" s="242">
        <v>23158</v>
      </c>
      <c r="C99" s="157">
        <f t="shared" si="3"/>
        <v>0.21759720369082744</v>
      </c>
    </row>
    <row r="100" spans="1:6" ht="15.75" thickBot="1" x14ac:dyDescent="0.3">
      <c r="A100" s="241" t="s">
        <v>98</v>
      </c>
      <c r="B100" s="242">
        <v>2</v>
      </c>
      <c r="C100" s="157">
        <f t="shared" si="3"/>
        <v>1.8792400353297127E-5</v>
      </c>
    </row>
    <row r="101" spans="1:6" ht="15.75" thickBot="1" x14ac:dyDescent="0.3">
      <c r="A101" s="248" t="s">
        <v>137</v>
      </c>
      <c r="B101" s="198">
        <f>SUM(B80:B100)</f>
        <v>106426</v>
      </c>
      <c r="C101" s="157"/>
    </row>
    <row r="102" spans="1:6" ht="15" x14ac:dyDescent="0.25">
      <c r="A102" s="241"/>
      <c r="B102" s="242"/>
      <c r="C102" s="242"/>
    </row>
    <row r="103" spans="1:6" ht="15" x14ac:dyDescent="0.25">
      <c r="A103" s="184" t="s">
        <v>199</v>
      </c>
      <c r="E103" s="449" t="s">
        <v>162</v>
      </c>
      <c r="F103" s="449"/>
    </row>
    <row r="104" spans="1:6" ht="15" x14ac:dyDescent="0.25">
      <c r="A104" s="191" t="s">
        <v>160</v>
      </c>
      <c r="B104" s="191" t="s">
        <v>103</v>
      </c>
      <c r="C104" s="176" t="s">
        <v>105</v>
      </c>
      <c r="E104" s="175" t="s">
        <v>157</v>
      </c>
      <c r="F104" s="177" t="s">
        <v>105</v>
      </c>
    </row>
    <row r="105" spans="1:6" ht="15" x14ac:dyDescent="0.25">
      <c r="A105" s="192" t="s">
        <v>14</v>
      </c>
      <c r="B105" s="193">
        <v>185</v>
      </c>
      <c r="C105" s="157">
        <f>B105/B$125</f>
        <v>2.7592995853593055E-3</v>
      </c>
      <c r="D105" s="199"/>
      <c r="E105" s="199" t="s">
        <v>31</v>
      </c>
      <c r="F105" s="200">
        <f>C123</f>
        <v>0.82580616293291176</v>
      </c>
    </row>
    <row r="106" spans="1:6" ht="15" x14ac:dyDescent="0.25">
      <c r="A106" s="192" t="s">
        <v>15</v>
      </c>
      <c r="B106" s="193">
        <v>465</v>
      </c>
      <c r="C106" s="157">
        <f t="shared" ref="C106:C124" si="4">B106/B$125</f>
        <v>6.9355367956328495E-3</v>
      </c>
      <c r="D106" s="199"/>
      <c r="E106" s="199" t="s">
        <v>18</v>
      </c>
      <c r="F106" s="200">
        <f>C110</f>
        <v>4.0524416072547205E-2</v>
      </c>
    </row>
    <row r="107" spans="1:6" ht="15" x14ac:dyDescent="0.25">
      <c r="A107" s="192" t="s">
        <v>16</v>
      </c>
      <c r="B107" s="193">
        <v>2038</v>
      </c>
      <c r="C107" s="157">
        <f t="shared" si="4"/>
        <v>3.0397040837633862E-2</v>
      </c>
      <c r="D107" s="199"/>
      <c r="E107" s="200" t="str">
        <f>A107</f>
        <v>BG</v>
      </c>
      <c r="F107" s="200">
        <f>C107</f>
        <v>3.0397040837633862E-2</v>
      </c>
    </row>
    <row r="108" spans="1:6" ht="15" x14ac:dyDescent="0.25">
      <c r="A108" s="192" t="s">
        <v>85</v>
      </c>
      <c r="B108" s="193">
        <v>20</v>
      </c>
      <c r="C108" s="157">
        <f t="shared" si="4"/>
        <v>2.983026578766817E-4</v>
      </c>
      <c r="D108" s="199"/>
      <c r="E108" s="200" t="s">
        <v>30</v>
      </c>
      <c r="F108" s="200">
        <f>C122</f>
        <v>2.4132685022223547E-2</v>
      </c>
    </row>
    <row r="109" spans="1:6" ht="15" x14ac:dyDescent="0.25">
      <c r="A109" s="192" t="s">
        <v>17</v>
      </c>
      <c r="B109" s="193">
        <v>280</v>
      </c>
      <c r="C109" s="157">
        <f t="shared" si="4"/>
        <v>4.1762372102735435E-3</v>
      </c>
      <c r="D109" s="199"/>
      <c r="E109" s="199" t="s">
        <v>184</v>
      </c>
      <c r="F109" s="200">
        <f>C105+C106+C108+C109+C111+C112+C113+C114+C115+C116+C117+C118+C119+C120+C121+C124</f>
        <v>7.9139695134683649E-2</v>
      </c>
    </row>
    <row r="110" spans="1:6" ht="15" x14ac:dyDescent="0.25">
      <c r="A110" s="192" t="s">
        <v>18</v>
      </c>
      <c r="B110" s="193">
        <v>2717</v>
      </c>
      <c r="C110" s="157">
        <f t="shared" si="4"/>
        <v>4.0524416072547205E-2</v>
      </c>
      <c r="D110" s="199"/>
      <c r="E110" s="199"/>
      <c r="F110" s="199"/>
    </row>
    <row r="111" spans="1:6" ht="15" x14ac:dyDescent="0.25">
      <c r="A111" s="192" t="s">
        <v>19</v>
      </c>
      <c r="B111" s="193">
        <v>44</v>
      </c>
      <c r="C111" s="157">
        <f t="shared" si="4"/>
        <v>6.5626584732869967E-4</v>
      </c>
      <c r="D111" s="199"/>
      <c r="E111" s="199"/>
      <c r="F111" s="199"/>
    </row>
    <row r="112" spans="1:6" ht="15" x14ac:dyDescent="0.25">
      <c r="A112" s="192" t="s">
        <v>20</v>
      </c>
      <c r="B112" s="193">
        <v>32</v>
      </c>
      <c r="C112" s="157">
        <f t="shared" si="4"/>
        <v>4.7728425260269068E-4</v>
      </c>
      <c r="D112" s="199"/>
      <c r="E112" s="199"/>
      <c r="F112" s="199"/>
    </row>
    <row r="113" spans="1:6" ht="15" x14ac:dyDescent="0.25">
      <c r="A113" s="192" t="s">
        <v>21</v>
      </c>
      <c r="B113" s="193">
        <v>352</v>
      </c>
      <c r="C113" s="157">
        <f t="shared" si="4"/>
        <v>5.2501267786295974E-3</v>
      </c>
      <c r="D113" s="199"/>
      <c r="E113" s="199"/>
      <c r="F113" s="199"/>
    </row>
    <row r="114" spans="1:6" ht="15" x14ac:dyDescent="0.25">
      <c r="A114" s="192" t="s">
        <v>22</v>
      </c>
      <c r="B114" s="193">
        <v>89</v>
      </c>
      <c r="C114" s="157">
        <f t="shared" si="4"/>
        <v>1.3274468275512334E-3</v>
      </c>
      <c r="D114" s="199"/>
      <c r="E114" s="199"/>
      <c r="F114" s="199"/>
    </row>
    <row r="115" spans="1:6" ht="15" x14ac:dyDescent="0.25">
      <c r="A115" s="192" t="s">
        <v>23</v>
      </c>
      <c r="B115" s="193">
        <v>1471</v>
      </c>
      <c r="C115" s="157">
        <f t="shared" si="4"/>
        <v>2.1940160486829938E-2</v>
      </c>
      <c r="D115" s="199"/>
      <c r="E115" s="199"/>
      <c r="F115" s="199"/>
    </row>
    <row r="116" spans="1:6" ht="15" x14ac:dyDescent="0.25">
      <c r="A116" s="192" t="s">
        <v>24</v>
      </c>
      <c r="B116" s="193">
        <v>311</v>
      </c>
      <c r="C116" s="157">
        <f t="shared" si="4"/>
        <v>4.6386063299823999E-3</v>
      </c>
      <c r="D116" s="199"/>
      <c r="E116" s="199"/>
      <c r="F116" s="199"/>
    </row>
    <row r="117" spans="1:6" ht="15" x14ac:dyDescent="0.25">
      <c r="A117" s="192" t="s">
        <v>2</v>
      </c>
      <c r="B117" s="193">
        <v>1415</v>
      </c>
      <c r="C117" s="157">
        <f t="shared" si="4"/>
        <v>2.1104913044775228E-2</v>
      </c>
      <c r="D117" s="199"/>
      <c r="E117" s="199"/>
      <c r="F117" s="199"/>
    </row>
    <row r="118" spans="1:6" ht="15" x14ac:dyDescent="0.25">
      <c r="A118" s="192" t="s">
        <v>27</v>
      </c>
      <c r="B118" s="193">
        <v>273</v>
      </c>
      <c r="C118" s="157">
        <f t="shared" si="4"/>
        <v>4.0718312800167049E-3</v>
      </c>
      <c r="D118" s="199"/>
      <c r="E118" s="199"/>
      <c r="F118" s="199"/>
    </row>
    <row r="119" spans="1:6" ht="15" x14ac:dyDescent="0.25">
      <c r="A119" s="192" t="s">
        <v>96</v>
      </c>
      <c r="B119" s="193">
        <v>17</v>
      </c>
      <c r="C119" s="157">
        <f t="shared" si="4"/>
        <v>2.5355725919517944E-4</v>
      </c>
      <c r="D119" s="199"/>
      <c r="E119" s="199"/>
      <c r="F119" s="199"/>
    </row>
    <row r="120" spans="1:6" ht="15" x14ac:dyDescent="0.25">
      <c r="A120" s="194" t="s">
        <v>28</v>
      </c>
      <c r="B120" s="195">
        <v>60</v>
      </c>
      <c r="C120" s="157">
        <f t="shared" si="4"/>
        <v>8.9490797363004509E-4</v>
      </c>
      <c r="D120" s="199"/>
      <c r="E120" s="199"/>
      <c r="F120" s="199"/>
    </row>
    <row r="121" spans="1:6" ht="15" x14ac:dyDescent="0.25">
      <c r="A121" s="241" t="s">
        <v>29</v>
      </c>
      <c r="B121" s="242">
        <v>120</v>
      </c>
      <c r="C121" s="157">
        <f t="shared" si="4"/>
        <v>1.7898159472600902E-3</v>
      </c>
    </row>
    <row r="122" spans="1:6" ht="15" x14ac:dyDescent="0.25">
      <c r="A122" s="241" t="s">
        <v>30</v>
      </c>
      <c r="B122" s="242">
        <v>1618</v>
      </c>
      <c r="C122" s="157">
        <f t="shared" si="4"/>
        <v>2.4132685022223547E-2</v>
      </c>
    </row>
    <row r="123" spans="1:6" ht="15" x14ac:dyDescent="0.25">
      <c r="A123" s="241" t="s">
        <v>31</v>
      </c>
      <c r="B123" s="242">
        <v>55367</v>
      </c>
      <c r="C123" s="157">
        <f t="shared" si="4"/>
        <v>0.82580616293291176</v>
      </c>
    </row>
    <row r="124" spans="1:6" ht="15.75" thickBot="1" x14ac:dyDescent="0.3">
      <c r="A124" s="241" t="s">
        <v>98</v>
      </c>
      <c r="B124" s="242">
        <v>172</v>
      </c>
      <c r="C124" s="157">
        <f t="shared" si="4"/>
        <v>2.5654028577394624E-3</v>
      </c>
    </row>
    <row r="125" spans="1:6" ht="15.75" thickBot="1" x14ac:dyDescent="0.3">
      <c r="A125" s="248" t="s">
        <v>137</v>
      </c>
      <c r="B125" s="198">
        <f>SUM(B105:B124)</f>
        <v>67046</v>
      </c>
      <c r="C125" s="243"/>
    </row>
    <row r="126" spans="1:6" ht="15" x14ac:dyDescent="0.25">
      <c r="A126" s="241"/>
      <c r="B126" s="242"/>
      <c r="C126" s="243"/>
    </row>
    <row r="127" spans="1:6" ht="15" x14ac:dyDescent="0.25">
      <c r="A127" s="184" t="s">
        <v>200</v>
      </c>
      <c r="E127" s="173" t="s">
        <v>185</v>
      </c>
    </row>
    <row r="128" spans="1:6" ht="15" x14ac:dyDescent="0.25">
      <c r="A128" s="191" t="s">
        <v>160</v>
      </c>
      <c r="B128" s="191" t="s">
        <v>103</v>
      </c>
      <c r="C128" s="176" t="s">
        <v>105</v>
      </c>
      <c r="E128" s="175" t="s">
        <v>157</v>
      </c>
      <c r="F128" s="177" t="s">
        <v>105</v>
      </c>
    </row>
    <row r="129" spans="1:6" ht="15" x14ac:dyDescent="0.25">
      <c r="A129" s="192" t="s">
        <v>14</v>
      </c>
      <c r="B129" s="193">
        <v>85</v>
      </c>
      <c r="C129" s="157">
        <f>B129/B$153</f>
        <v>1.8537904562505453E-3</v>
      </c>
      <c r="D129" s="199"/>
      <c r="E129" s="199" t="s">
        <v>31</v>
      </c>
      <c r="F129" s="200">
        <f>C150</f>
        <v>0.41001483032364999</v>
      </c>
    </row>
    <row r="130" spans="1:6" ht="15" x14ac:dyDescent="0.25">
      <c r="A130" s="192" t="s">
        <v>15</v>
      </c>
      <c r="B130" s="193">
        <v>4488</v>
      </c>
      <c r="C130" s="157">
        <f t="shared" ref="C130:C152" si="5">B130/B$153</f>
        <v>9.7880136090028783E-2</v>
      </c>
      <c r="D130" s="199"/>
      <c r="E130" s="199" t="s">
        <v>15</v>
      </c>
      <c r="F130" s="200">
        <f>C130</f>
        <v>9.7880136090028783E-2</v>
      </c>
    </row>
    <row r="131" spans="1:6" ht="15" x14ac:dyDescent="0.25">
      <c r="A131" s="192" t="s">
        <v>16</v>
      </c>
      <c r="B131" s="193">
        <v>2063</v>
      </c>
      <c r="C131" s="157">
        <f t="shared" si="5"/>
        <v>4.4992584838174997E-2</v>
      </c>
      <c r="D131" s="199"/>
      <c r="E131" s="199" t="s">
        <v>82</v>
      </c>
      <c r="F131" s="200">
        <f>C144</f>
        <v>9.6876908313704962E-2</v>
      </c>
    </row>
    <row r="132" spans="1:6" ht="15" x14ac:dyDescent="0.25">
      <c r="A132" s="192" t="s">
        <v>85</v>
      </c>
      <c r="B132" s="193">
        <v>7</v>
      </c>
      <c r="C132" s="157">
        <f t="shared" si="5"/>
        <v>1.5266509639710372E-4</v>
      </c>
      <c r="D132" s="199"/>
      <c r="E132" s="200" t="s">
        <v>21</v>
      </c>
      <c r="F132" s="200">
        <f>C137</f>
        <v>7.6943208584140277E-2</v>
      </c>
    </row>
    <row r="133" spans="1:6" ht="15" x14ac:dyDescent="0.25">
      <c r="A133" s="192" t="s">
        <v>17</v>
      </c>
      <c r="B133" s="193">
        <v>477</v>
      </c>
      <c r="C133" s="157">
        <f t="shared" si="5"/>
        <v>1.0403035854488353E-2</v>
      </c>
      <c r="D133" s="199"/>
      <c r="E133" s="200" t="s">
        <v>30</v>
      </c>
      <c r="F133" s="200">
        <f>C149</f>
        <v>6.3094303410974439E-2</v>
      </c>
    </row>
    <row r="134" spans="1:6" ht="15" x14ac:dyDescent="0.25">
      <c r="A134" s="192" t="s">
        <v>18</v>
      </c>
      <c r="B134" s="193">
        <v>2177</v>
      </c>
      <c r="C134" s="157">
        <f t="shared" si="5"/>
        <v>4.7478844979499259E-2</v>
      </c>
      <c r="D134" s="199"/>
      <c r="E134" s="199" t="s">
        <v>156</v>
      </c>
      <c r="F134" s="200">
        <f>C129+C131+C132+C133+C134+C135+C136+C138+C139+C140+C141+C142+C143+C145+C146+C147+C148+C151+C152</f>
        <v>0.25519061327750159</v>
      </c>
    </row>
    <row r="135" spans="1:6" ht="15" x14ac:dyDescent="0.25">
      <c r="A135" s="192" t="s">
        <v>19</v>
      </c>
      <c r="B135" s="193">
        <v>73</v>
      </c>
      <c r="C135" s="157">
        <f t="shared" si="5"/>
        <v>1.5920788624269389E-3</v>
      </c>
      <c r="D135" s="199"/>
      <c r="E135" s="199"/>
      <c r="F135" s="199"/>
    </row>
    <row r="136" spans="1:6" ht="15" x14ac:dyDescent="0.25">
      <c r="A136" s="192" t="s">
        <v>20</v>
      </c>
      <c r="B136" s="193">
        <v>76</v>
      </c>
      <c r="C136" s="157">
        <f t="shared" si="5"/>
        <v>1.6575067608828405E-3</v>
      </c>
      <c r="D136" s="199"/>
      <c r="E136" s="199"/>
      <c r="F136" s="199"/>
    </row>
    <row r="137" spans="1:6" ht="15" x14ac:dyDescent="0.25">
      <c r="A137" s="192" t="s">
        <v>21</v>
      </c>
      <c r="B137" s="193">
        <v>3528</v>
      </c>
      <c r="C137" s="157">
        <f t="shared" si="5"/>
        <v>7.6943208584140277E-2</v>
      </c>
      <c r="D137" s="199"/>
      <c r="E137" s="199"/>
      <c r="F137" s="199"/>
    </row>
    <row r="138" spans="1:6" ht="15" x14ac:dyDescent="0.25">
      <c r="A138" s="192" t="s">
        <v>22</v>
      </c>
      <c r="B138" s="193">
        <v>50</v>
      </c>
      <c r="C138" s="157">
        <f t="shared" si="5"/>
        <v>1.0904649742650267E-3</v>
      </c>
      <c r="D138" s="199"/>
      <c r="E138" s="199"/>
      <c r="F138" s="199"/>
    </row>
    <row r="139" spans="1:6" ht="15" x14ac:dyDescent="0.25">
      <c r="A139" s="192" t="s">
        <v>24</v>
      </c>
      <c r="B139" s="193">
        <v>1921</v>
      </c>
      <c r="C139" s="157">
        <f t="shared" si="5"/>
        <v>4.1895664311262321E-2</v>
      </c>
      <c r="D139" s="199"/>
      <c r="E139" s="199"/>
      <c r="F139" s="199"/>
    </row>
    <row r="140" spans="1:6" ht="15" x14ac:dyDescent="0.25">
      <c r="A140" s="192" t="s">
        <v>25</v>
      </c>
      <c r="B140" s="193">
        <v>184</v>
      </c>
      <c r="C140" s="157">
        <f t="shared" si="5"/>
        <v>4.0129111052952977E-3</v>
      </c>
      <c r="D140" s="199"/>
      <c r="E140" s="199"/>
      <c r="F140" s="199"/>
    </row>
    <row r="141" spans="1:6" ht="15" x14ac:dyDescent="0.25">
      <c r="A141" s="192" t="s">
        <v>95</v>
      </c>
      <c r="B141" s="193">
        <v>516</v>
      </c>
      <c r="C141" s="157">
        <f t="shared" si="5"/>
        <v>1.1253598534415075E-2</v>
      </c>
      <c r="D141" s="199"/>
      <c r="E141" s="199"/>
      <c r="F141" s="199"/>
    </row>
    <row r="142" spans="1:6" ht="15" x14ac:dyDescent="0.25">
      <c r="A142" s="192" t="s">
        <v>2</v>
      </c>
      <c r="B142" s="193">
        <v>445</v>
      </c>
      <c r="C142" s="157">
        <f t="shared" si="5"/>
        <v>9.7051382709587367E-3</v>
      </c>
      <c r="D142" s="199"/>
      <c r="E142" s="199"/>
      <c r="F142" s="199"/>
    </row>
    <row r="143" spans="1:6" ht="15" x14ac:dyDescent="0.25">
      <c r="A143" s="192" t="s">
        <v>26</v>
      </c>
      <c r="B143" s="193">
        <v>152</v>
      </c>
      <c r="C143" s="157">
        <f t="shared" si="5"/>
        <v>3.3150135217656809E-3</v>
      </c>
      <c r="D143" s="199"/>
      <c r="E143" s="199"/>
      <c r="F143" s="199"/>
    </row>
    <row r="144" spans="1:6" ht="15" x14ac:dyDescent="0.25">
      <c r="A144" s="192" t="s">
        <v>82</v>
      </c>
      <c r="B144" s="193">
        <v>4442</v>
      </c>
      <c r="C144" s="157">
        <f t="shared" si="5"/>
        <v>9.6876908313704962E-2</v>
      </c>
      <c r="D144" s="199"/>
      <c r="E144" s="199"/>
      <c r="F144" s="199"/>
    </row>
    <row r="145" spans="1:6" ht="15" x14ac:dyDescent="0.25">
      <c r="A145" s="192" t="s">
        <v>27</v>
      </c>
      <c r="B145" s="193">
        <v>991</v>
      </c>
      <c r="C145" s="157">
        <f t="shared" si="5"/>
        <v>2.1613015789932827E-2</v>
      </c>
      <c r="D145" s="199"/>
      <c r="E145" s="199"/>
      <c r="F145" s="199"/>
    </row>
    <row r="146" spans="1:6" ht="15" x14ac:dyDescent="0.25">
      <c r="A146" s="194" t="s">
        <v>96</v>
      </c>
      <c r="B146" s="195">
        <v>196</v>
      </c>
      <c r="C146" s="157">
        <f t="shared" si="5"/>
        <v>4.2746226991189039E-3</v>
      </c>
      <c r="D146" s="199"/>
      <c r="E146" s="199"/>
      <c r="F146" s="199"/>
    </row>
    <row r="147" spans="1:6" ht="15" x14ac:dyDescent="0.25">
      <c r="A147" s="242" t="s">
        <v>28</v>
      </c>
      <c r="B147" s="242">
        <v>118</v>
      </c>
      <c r="C147" s="157">
        <f t="shared" si="5"/>
        <v>2.5734973392654626E-3</v>
      </c>
    </row>
    <row r="148" spans="1:6" ht="15" x14ac:dyDescent="0.25">
      <c r="A148" s="173" t="s">
        <v>29</v>
      </c>
      <c r="B148" s="173">
        <v>1486</v>
      </c>
      <c r="C148" s="157">
        <f t="shared" si="5"/>
        <v>3.2408619035156593E-2</v>
      </c>
    </row>
    <row r="149" spans="1:6" ht="15" x14ac:dyDescent="0.25">
      <c r="A149" s="173" t="s">
        <v>30</v>
      </c>
      <c r="B149" s="173">
        <v>2893</v>
      </c>
      <c r="C149" s="157">
        <f t="shared" si="5"/>
        <v>6.3094303410974439E-2</v>
      </c>
    </row>
    <row r="150" spans="1:6" ht="15" x14ac:dyDescent="0.25">
      <c r="A150" s="173" t="s">
        <v>31</v>
      </c>
      <c r="B150" s="173">
        <v>18800</v>
      </c>
      <c r="C150" s="157">
        <f t="shared" si="5"/>
        <v>0.41001483032364999</v>
      </c>
    </row>
    <row r="151" spans="1:6" ht="15" x14ac:dyDescent="0.25">
      <c r="A151" s="173" t="s">
        <v>98</v>
      </c>
      <c r="B151" s="173">
        <v>123</v>
      </c>
      <c r="C151" s="157">
        <f t="shared" si="5"/>
        <v>2.6825438366919656E-3</v>
      </c>
    </row>
    <row r="152" spans="1:6" ht="15.75" thickBot="1" x14ac:dyDescent="0.3">
      <c r="A152" s="173" t="s">
        <v>3</v>
      </c>
      <c r="B152" s="173">
        <v>561</v>
      </c>
      <c r="C152" s="157">
        <f t="shared" si="5"/>
        <v>1.2235017011253598E-2</v>
      </c>
    </row>
    <row r="153" spans="1:6" ht="13.5" thickBot="1" x14ac:dyDescent="0.25">
      <c r="A153" s="249" t="s">
        <v>91</v>
      </c>
      <c r="B153" s="183">
        <f>SUM(B129:B152)</f>
        <v>45852</v>
      </c>
    </row>
  </sheetData>
  <mergeCells count="4">
    <mergeCell ref="E2:F2"/>
    <mergeCell ref="E26:F26"/>
    <mergeCell ref="E78:F78"/>
    <mergeCell ref="E103:F103"/>
  </mergeCells>
  <conditionalFormatting sqref="C4:C23">
    <cfRule type="colorScale" priority="5">
      <colorScale>
        <cfvo type="min"/>
        <cfvo type="max"/>
        <color rgb="FFFCFCFF"/>
        <color rgb="FFF8696B"/>
      </colorScale>
    </cfRule>
    <cfRule type="top10" dxfId="11" priority="8" rank="4"/>
  </conditionalFormatting>
  <conditionalFormatting sqref="C51:C74">
    <cfRule type="colorScale" priority="3">
      <colorScale>
        <cfvo type="min"/>
        <cfvo type="max"/>
        <color rgb="FFFCFCFF"/>
        <color rgb="FFF8696B"/>
      </colorScale>
    </cfRule>
    <cfRule type="top10" dxfId="10" priority="4" rank="4"/>
  </conditionalFormatting>
  <conditionalFormatting sqref="C80:C101">
    <cfRule type="colorScale" priority="1">
      <colorScale>
        <cfvo type="min"/>
        <cfvo type="max"/>
        <color rgb="FFFCFCFF"/>
        <color rgb="FFF8696B"/>
      </colorScale>
    </cfRule>
    <cfRule type="top10" dxfId="9" priority="2" rank="4"/>
  </conditionalFormatting>
  <conditionalFormatting sqref="C105:C124">
    <cfRule type="colorScale" priority="9">
      <colorScale>
        <cfvo type="min"/>
        <cfvo type="max"/>
        <color rgb="FFFCFCFF"/>
        <color rgb="FFF8696B"/>
      </colorScale>
    </cfRule>
    <cfRule type="top10" dxfId="8" priority="10" rank="4"/>
  </conditionalFormatting>
  <conditionalFormatting sqref="C129:C152">
    <cfRule type="colorScale" priority="11">
      <colorScale>
        <cfvo type="min"/>
        <cfvo type="max"/>
        <color rgb="FFFCFCFF"/>
        <color rgb="FFF8696B"/>
      </colorScale>
    </cfRule>
    <cfRule type="top10" dxfId="7" priority="12" rank="4"/>
  </conditionalFormatting>
  <conditionalFormatting sqref="C28:C46">
    <cfRule type="colorScale" priority="28">
      <colorScale>
        <cfvo type="min"/>
        <cfvo type="max"/>
        <color rgb="FFFCFCFF"/>
        <color rgb="FFF8696B"/>
      </colorScale>
    </cfRule>
    <cfRule type="top10" dxfId="6" priority="29" rank="4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66"/>
  <sheetViews>
    <sheetView zoomScaleNormal="100" workbookViewId="0">
      <selection activeCell="A2" sqref="A2"/>
    </sheetView>
  </sheetViews>
  <sheetFormatPr defaultRowHeight="12.75" x14ac:dyDescent="0.2"/>
  <cols>
    <col min="1" max="2" width="9.140625" style="173"/>
    <col min="3" max="3" width="7.140625" style="173" customWidth="1"/>
    <col min="4" max="16384" width="9.140625" style="173"/>
  </cols>
  <sheetData>
    <row r="1" spans="1:6" ht="18.75" x14ac:dyDescent="0.3">
      <c r="A1" s="172" t="s">
        <v>213</v>
      </c>
      <c r="B1" s="172"/>
      <c r="C1" s="172"/>
      <c r="D1" s="172"/>
    </row>
    <row r="2" spans="1:6" ht="15" x14ac:dyDescent="0.25">
      <c r="A2" s="174" t="s">
        <v>195</v>
      </c>
      <c r="E2" s="449" t="s">
        <v>216</v>
      </c>
      <c r="F2" s="449"/>
    </row>
    <row r="3" spans="1:6" ht="15" x14ac:dyDescent="0.25">
      <c r="A3" s="175" t="s">
        <v>160</v>
      </c>
      <c r="B3" s="175" t="s">
        <v>103</v>
      </c>
      <c r="C3" s="176" t="s">
        <v>105</v>
      </c>
      <c r="E3" s="175" t="s">
        <v>157</v>
      </c>
      <c r="F3" s="177" t="s">
        <v>105</v>
      </c>
    </row>
    <row r="4" spans="1:6" ht="15" x14ac:dyDescent="0.25">
      <c r="A4" s="178" t="s">
        <v>14</v>
      </c>
      <c r="B4" s="179">
        <v>6662</v>
      </c>
      <c r="C4" s="157">
        <f t="shared" ref="C4:C27" si="0">B4/B$28</f>
        <v>5.6172480375045318E-2</v>
      </c>
      <c r="E4" s="199" t="s">
        <v>30</v>
      </c>
      <c r="F4" s="200">
        <f>C24</f>
        <v>0.21540653799779089</v>
      </c>
    </row>
    <row r="5" spans="1:6" ht="15" x14ac:dyDescent="0.25">
      <c r="A5" s="178" t="s">
        <v>15</v>
      </c>
      <c r="B5" s="179">
        <v>1938</v>
      </c>
      <c r="C5" s="157">
        <f t="shared" si="0"/>
        <v>1.6340778590038702E-2</v>
      </c>
      <c r="E5" s="199" t="s">
        <v>31</v>
      </c>
      <c r="F5" s="200">
        <f>C25</f>
        <v>0.17653605848278653</v>
      </c>
    </row>
    <row r="6" spans="1:6" ht="15" x14ac:dyDescent="0.25">
      <c r="A6" s="178" t="s">
        <v>16</v>
      </c>
      <c r="B6" s="179">
        <v>7488</v>
      </c>
      <c r="C6" s="157">
        <f t="shared" si="0"/>
        <v>6.3137125945412695E-2</v>
      </c>
      <c r="E6" s="199" t="s">
        <v>82</v>
      </c>
      <c r="F6" s="200">
        <f>C19</f>
        <v>0.10471420501016029</v>
      </c>
    </row>
    <row r="7" spans="1:6" ht="15" x14ac:dyDescent="0.25">
      <c r="A7" s="178" t="s">
        <v>85</v>
      </c>
      <c r="B7" s="179">
        <v>69</v>
      </c>
      <c r="C7" s="157">
        <f t="shared" si="0"/>
        <v>5.8179242658032535E-4</v>
      </c>
      <c r="E7" s="199" t="s">
        <v>23</v>
      </c>
      <c r="F7" s="200">
        <f>C13</f>
        <v>5.8305719272506516E-2</v>
      </c>
    </row>
    <row r="8" spans="1:6" ht="15" x14ac:dyDescent="0.25">
      <c r="A8" s="178" t="s">
        <v>17</v>
      </c>
      <c r="B8" s="179">
        <v>6087</v>
      </c>
      <c r="C8" s="157">
        <f t="shared" si="0"/>
        <v>5.1324210153542611E-2</v>
      </c>
      <c r="E8" s="199" t="s">
        <v>16</v>
      </c>
      <c r="F8" s="200">
        <f>C6</f>
        <v>6.3137125945412695E-2</v>
      </c>
    </row>
    <row r="9" spans="1:6" ht="15" x14ac:dyDescent="0.25">
      <c r="A9" s="178" t="s">
        <v>19</v>
      </c>
      <c r="B9" s="179">
        <v>698</v>
      </c>
      <c r="C9" s="157">
        <f t="shared" si="0"/>
        <v>5.8853784601893781E-3</v>
      </c>
      <c r="E9" s="199" t="s">
        <v>217</v>
      </c>
      <c r="F9" s="200">
        <f>1-SUM(F4:F8)</f>
        <v>0.3819003532913432</v>
      </c>
    </row>
    <row r="10" spans="1:6" ht="15" x14ac:dyDescent="0.25">
      <c r="A10" s="178" t="s">
        <v>20</v>
      </c>
      <c r="B10" s="179">
        <v>333</v>
      </c>
      <c r="C10" s="157">
        <f t="shared" si="0"/>
        <v>2.8077808413224394E-3</v>
      </c>
      <c r="E10" s="173" t="s">
        <v>91</v>
      </c>
      <c r="F10" s="283">
        <f>SUM(F4:F9)</f>
        <v>1</v>
      </c>
    </row>
    <row r="11" spans="1:6" ht="15" x14ac:dyDescent="0.25">
      <c r="A11" s="178" t="s">
        <v>21</v>
      </c>
      <c r="B11" s="179">
        <v>2839</v>
      </c>
      <c r="C11" s="157">
        <f t="shared" si="0"/>
        <v>2.3937807232775991E-2</v>
      </c>
    </row>
    <row r="12" spans="1:6" ht="15" x14ac:dyDescent="0.25">
      <c r="A12" s="178" t="s">
        <v>22</v>
      </c>
      <c r="B12" s="179">
        <v>243</v>
      </c>
      <c r="C12" s="157">
        <f t="shared" si="0"/>
        <v>2.0489211544785367E-3</v>
      </c>
    </row>
    <row r="13" spans="1:6" ht="15" x14ac:dyDescent="0.25">
      <c r="A13" s="178" t="s">
        <v>23</v>
      </c>
      <c r="B13" s="179">
        <v>6915</v>
      </c>
      <c r="C13" s="157">
        <f t="shared" si="0"/>
        <v>5.8305719272506516E-2</v>
      </c>
    </row>
    <row r="14" spans="1:6" ht="15" x14ac:dyDescent="0.25">
      <c r="A14" s="178" t="s">
        <v>24</v>
      </c>
      <c r="B14" s="179">
        <v>1939</v>
      </c>
      <c r="C14" s="157">
        <f t="shared" si="0"/>
        <v>1.6349210364336966E-2</v>
      </c>
    </row>
    <row r="15" spans="1:6" ht="15" x14ac:dyDescent="0.25">
      <c r="A15" s="178" t="s">
        <v>25</v>
      </c>
      <c r="B15" s="179">
        <v>1780</v>
      </c>
      <c r="C15" s="157">
        <f t="shared" si="0"/>
        <v>1.500855825091274E-2</v>
      </c>
    </row>
    <row r="16" spans="1:6" ht="15" x14ac:dyDescent="0.25">
      <c r="A16" s="180" t="s">
        <v>95</v>
      </c>
      <c r="B16" s="181">
        <v>4544</v>
      </c>
      <c r="C16" s="157">
        <f t="shared" si="0"/>
        <v>3.8313982411318816E-2</v>
      </c>
    </row>
    <row r="17" spans="1:6" ht="15" x14ac:dyDescent="0.25">
      <c r="A17" s="244" t="s">
        <v>2</v>
      </c>
      <c r="B17" s="242">
        <v>4658</v>
      </c>
      <c r="C17" s="157">
        <f t="shared" si="0"/>
        <v>3.9275204681321091E-2</v>
      </c>
    </row>
    <row r="18" spans="1:6" ht="15" x14ac:dyDescent="0.25">
      <c r="A18" s="244" t="s">
        <v>26</v>
      </c>
      <c r="B18" s="242">
        <v>253</v>
      </c>
      <c r="C18" s="157">
        <f t="shared" si="0"/>
        <v>2.1332388974611926E-3</v>
      </c>
    </row>
    <row r="19" spans="1:6" ht="15" x14ac:dyDescent="0.25">
      <c r="A19" s="244" t="s">
        <v>82</v>
      </c>
      <c r="B19" s="242">
        <v>12419</v>
      </c>
      <c r="C19" s="157">
        <f t="shared" si="0"/>
        <v>0.10471420501016029</v>
      </c>
    </row>
    <row r="20" spans="1:6" ht="15" x14ac:dyDescent="0.25">
      <c r="A20" s="244" t="s">
        <v>27</v>
      </c>
      <c r="B20" s="242">
        <v>2778</v>
      </c>
      <c r="C20" s="157">
        <f t="shared" si="0"/>
        <v>2.3423469000581794E-2</v>
      </c>
    </row>
    <row r="21" spans="1:6" ht="15" x14ac:dyDescent="0.25">
      <c r="A21" s="244" t="s">
        <v>96</v>
      </c>
      <c r="B21" s="242">
        <v>958</v>
      </c>
      <c r="C21" s="157">
        <f t="shared" si="0"/>
        <v>8.0776397777384303E-3</v>
      </c>
    </row>
    <row r="22" spans="1:6" ht="15" x14ac:dyDescent="0.25">
      <c r="A22" s="244" t="s">
        <v>28</v>
      </c>
      <c r="B22" s="242">
        <v>1189</v>
      </c>
      <c r="C22" s="157">
        <f t="shared" si="0"/>
        <v>1.002537964063778E-2</v>
      </c>
    </row>
    <row r="23" spans="1:6" ht="15" x14ac:dyDescent="0.25">
      <c r="A23" s="244" t="s">
        <v>29</v>
      </c>
      <c r="B23" s="242">
        <v>6207</v>
      </c>
      <c r="C23" s="157">
        <f t="shared" si="0"/>
        <v>5.2336023069334478E-2</v>
      </c>
    </row>
    <row r="24" spans="1:6" ht="15" x14ac:dyDescent="0.25">
      <c r="A24" s="244" t="s">
        <v>30</v>
      </c>
      <c r="B24" s="242">
        <v>25547</v>
      </c>
      <c r="C24" s="157">
        <f t="shared" si="0"/>
        <v>0.21540653799779089</v>
      </c>
    </row>
    <row r="25" spans="1:6" ht="15" x14ac:dyDescent="0.25">
      <c r="A25" s="244" t="s">
        <v>31</v>
      </c>
      <c r="B25" s="242">
        <v>20937</v>
      </c>
      <c r="C25" s="157">
        <f t="shared" si="0"/>
        <v>0.17653605848278653</v>
      </c>
    </row>
    <row r="26" spans="1:6" ht="15" x14ac:dyDescent="0.25">
      <c r="A26" s="244" t="s">
        <v>98</v>
      </c>
      <c r="B26" s="242">
        <v>318</v>
      </c>
      <c r="C26" s="157">
        <f t="shared" si="0"/>
        <v>2.6813042268484556E-3</v>
      </c>
    </row>
    <row r="27" spans="1:6" ht="15.75" thickBot="1" x14ac:dyDescent="0.3">
      <c r="A27" s="244" t="s">
        <v>3</v>
      </c>
      <c r="B27" s="242">
        <v>1800</v>
      </c>
      <c r="C27" s="157">
        <f t="shared" si="0"/>
        <v>1.5177193736878052E-2</v>
      </c>
    </row>
    <row r="28" spans="1:6" ht="15.75" thickBot="1" x14ac:dyDescent="0.3">
      <c r="A28" s="245" t="s">
        <v>91</v>
      </c>
      <c r="B28" s="198">
        <f>SUM(B4:B27)</f>
        <v>118599</v>
      </c>
      <c r="C28" s="243"/>
    </row>
    <row r="29" spans="1:6" ht="15" x14ac:dyDescent="0.25">
      <c r="A29" s="244"/>
      <c r="B29" s="242"/>
      <c r="C29" s="243"/>
    </row>
    <row r="30" spans="1:6" ht="15" x14ac:dyDescent="0.25">
      <c r="A30" s="184" t="s">
        <v>196</v>
      </c>
      <c r="E30" s="449" t="s">
        <v>163</v>
      </c>
      <c r="F30" s="449"/>
    </row>
    <row r="31" spans="1:6" ht="15" x14ac:dyDescent="0.25">
      <c r="A31" s="185" t="s">
        <v>160</v>
      </c>
      <c r="B31" s="185" t="s">
        <v>103</v>
      </c>
      <c r="C31" s="176" t="s">
        <v>105</v>
      </c>
      <c r="E31" s="175" t="s">
        <v>157</v>
      </c>
      <c r="F31" s="177" t="s">
        <v>105</v>
      </c>
    </row>
    <row r="32" spans="1:6" ht="15" x14ac:dyDescent="0.25">
      <c r="A32" s="186" t="s">
        <v>14</v>
      </c>
      <c r="B32" s="187">
        <v>292</v>
      </c>
      <c r="C32" s="157">
        <f t="shared" ref="C32:C53" si="1">B32/B$54</f>
        <v>3.3466281575207446E-3</v>
      </c>
      <c r="E32" s="199" t="s">
        <v>30</v>
      </c>
      <c r="F32" s="200">
        <f>C50</f>
        <v>0.27203960940723421</v>
      </c>
    </row>
    <row r="33" spans="1:6" ht="15" x14ac:dyDescent="0.25">
      <c r="A33" s="186" t="s">
        <v>15</v>
      </c>
      <c r="B33" s="187">
        <v>788</v>
      </c>
      <c r="C33" s="157">
        <f t="shared" si="1"/>
        <v>9.0313116031724202E-3</v>
      </c>
      <c r="E33" s="199" t="s">
        <v>31</v>
      </c>
      <c r="F33" s="200">
        <f>C51</f>
        <v>0.21762251868152019</v>
      </c>
    </row>
    <row r="34" spans="1:6" ht="15" x14ac:dyDescent="0.25">
      <c r="A34" s="186" t="s">
        <v>16</v>
      </c>
      <c r="B34" s="187">
        <v>627</v>
      </c>
      <c r="C34" s="157">
        <f t="shared" si="1"/>
        <v>7.1860816944024205E-3</v>
      </c>
      <c r="E34" s="199" t="s">
        <v>27</v>
      </c>
      <c r="F34" s="200">
        <f>C47</f>
        <v>0.123618942832256</v>
      </c>
    </row>
    <row r="35" spans="1:6" ht="15" x14ac:dyDescent="0.25">
      <c r="A35" s="186" t="s">
        <v>85</v>
      </c>
      <c r="B35" s="187">
        <v>222</v>
      </c>
      <c r="C35" s="157">
        <f t="shared" si="1"/>
        <v>2.5443542841424838E-3</v>
      </c>
      <c r="E35" s="200" t="s">
        <v>28</v>
      </c>
      <c r="F35" s="200">
        <f>C48</f>
        <v>6.739100536377389E-2</v>
      </c>
    </row>
    <row r="36" spans="1:6" ht="15" x14ac:dyDescent="0.25">
      <c r="A36" s="186" t="s">
        <v>18</v>
      </c>
      <c r="B36" s="187">
        <v>2858</v>
      </c>
      <c r="C36" s="157">
        <f t="shared" si="1"/>
        <v>3.2755696144500988E-2</v>
      </c>
      <c r="E36" s="200" t="s">
        <v>26</v>
      </c>
      <c r="F36" s="200">
        <f>C45</f>
        <v>5.8451382203273276E-2</v>
      </c>
    </row>
    <row r="37" spans="1:6" ht="15" x14ac:dyDescent="0.25">
      <c r="A37" s="186" t="s">
        <v>19</v>
      </c>
      <c r="B37" s="187">
        <v>348</v>
      </c>
      <c r="C37" s="157">
        <f t="shared" si="1"/>
        <v>3.9884472562233533E-3</v>
      </c>
      <c r="E37" s="200" t="s">
        <v>183</v>
      </c>
      <c r="F37" s="200">
        <f>1-SUM(F32:F36)</f>
        <v>0.26087654151194251</v>
      </c>
    </row>
    <row r="38" spans="1:6" ht="15" x14ac:dyDescent="0.25">
      <c r="A38" s="186" t="s">
        <v>20</v>
      </c>
      <c r="B38" s="187">
        <v>347</v>
      </c>
      <c r="C38" s="157">
        <f t="shared" si="1"/>
        <v>3.9769862008893781E-3</v>
      </c>
      <c r="E38" s="173" t="s">
        <v>91</v>
      </c>
      <c r="F38" s="283">
        <f>SUM(F32:F37)</f>
        <v>1</v>
      </c>
    </row>
    <row r="39" spans="1:6" ht="15" x14ac:dyDescent="0.25">
      <c r="A39" s="186" t="s">
        <v>21</v>
      </c>
      <c r="B39" s="187">
        <v>2784</v>
      </c>
      <c r="C39" s="157">
        <f t="shared" si="1"/>
        <v>3.1907578049786826E-2</v>
      </c>
    </row>
    <row r="40" spans="1:6" ht="15" x14ac:dyDescent="0.25">
      <c r="A40" s="186" t="s">
        <v>22</v>
      </c>
      <c r="B40" s="187">
        <v>175</v>
      </c>
      <c r="C40" s="157">
        <f t="shared" si="1"/>
        <v>2.0056846834456518E-3</v>
      </c>
    </row>
    <row r="41" spans="1:6" ht="15" x14ac:dyDescent="0.25">
      <c r="A41" s="186" t="s">
        <v>23</v>
      </c>
      <c r="B41" s="187">
        <v>1930</v>
      </c>
      <c r="C41" s="157">
        <f t="shared" si="1"/>
        <v>2.2119836794572044E-2</v>
      </c>
    </row>
    <row r="42" spans="1:6" ht="15" x14ac:dyDescent="0.25">
      <c r="A42" s="186" t="s">
        <v>25</v>
      </c>
      <c r="B42" s="187">
        <v>670</v>
      </c>
      <c r="C42" s="157">
        <f t="shared" si="1"/>
        <v>7.6789070737633518E-3</v>
      </c>
    </row>
    <row r="43" spans="1:6" ht="15" x14ac:dyDescent="0.25">
      <c r="A43" s="186" t="s">
        <v>95</v>
      </c>
      <c r="B43" s="187">
        <v>63</v>
      </c>
      <c r="C43" s="157">
        <f t="shared" si="1"/>
        <v>7.2204648604043463E-4</v>
      </c>
    </row>
    <row r="44" spans="1:6" ht="15" x14ac:dyDescent="0.25">
      <c r="A44" s="186" t="s">
        <v>2</v>
      </c>
      <c r="B44" s="187">
        <v>1749</v>
      </c>
      <c r="C44" s="157">
        <f t="shared" si="1"/>
        <v>2.0045385779122543E-2</v>
      </c>
    </row>
    <row r="45" spans="1:6" ht="15" x14ac:dyDescent="0.25">
      <c r="A45" s="186" t="s">
        <v>26</v>
      </c>
      <c r="B45" s="187">
        <v>5100</v>
      </c>
      <c r="C45" s="157">
        <f t="shared" si="1"/>
        <v>5.8451382203273276E-2</v>
      </c>
    </row>
    <row r="46" spans="1:6" ht="15" x14ac:dyDescent="0.25">
      <c r="A46" s="186" t="s">
        <v>82</v>
      </c>
      <c r="B46" s="187">
        <v>3092</v>
      </c>
      <c r="C46" s="157">
        <f t="shared" si="1"/>
        <v>3.5437583092651173E-2</v>
      </c>
    </row>
    <row r="47" spans="1:6" ht="15" x14ac:dyDescent="0.25">
      <c r="A47" s="186" t="s">
        <v>27</v>
      </c>
      <c r="B47" s="187">
        <v>10786</v>
      </c>
      <c r="C47" s="157">
        <f t="shared" si="1"/>
        <v>0.123618942832256</v>
      </c>
    </row>
    <row r="48" spans="1:6" ht="15" x14ac:dyDescent="0.25">
      <c r="A48" s="186" t="s">
        <v>28</v>
      </c>
      <c r="B48" s="187">
        <v>5880</v>
      </c>
      <c r="C48" s="157">
        <f t="shared" si="1"/>
        <v>6.739100536377389E-2</v>
      </c>
    </row>
    <row r="49" spans="1:6" ht="15" x14ac:dyDescent="0.25">
      <c r="A49" s="188" t="s">
        <v>29</v>
      </c>
      <c r="B49" s="189">
        <v>3012</v>
      </c>
      <c r="C49" s="157">
        <f t="shared" si="1"/>
        <v>3.4520698665933158E-2</v>
      </c>
    </row>
    <row r="50" spans="1:6" ht="15" x14ac:dyDescent="0.25">
      <c r="A50" s="246" t="s">
        <v>30</v>
      </c>
      <c r="B50" s="247">
        <v>23736</v>
      </c>
      <c r="C50" s="157">
        <f t="shared" si="1"/>
        <v>0.27203960940723421</v>
      </c>
    </row>
    <row r="51" spans="1:6" ht="15" x14ac:dyDescent="0.25">
      <c r="A51" s="246" t="s">
        <v>31</v>
      </c>
      <c r="B51" s="247">
        <v>18988</v>
      </c>
      <c r="C51" s="157">
        <f t="shared" si="1"/>
        <v>0.21762251868152019</v>
      </c>
    </row>
    <row r="52" spans="1:6" ht="15" x14ac:dyDescent="0.25">
      <c r="A52" s="246" t="s">
        <v>98</v>
      </c>
      <c r="B52" s="247">
        <v>812</v>
      </c>
      <c r="C52" s="157">
        <f t="shared" si="1"/>
        <v>9.3063769311878229E-3</v>
      </c>
    </row>
    <row r="53" spans="1:6" ht="15.75" thickBot="1" x14ac:dyDescent="0.3">
      <c r="A53" s="246" t="s">
        <v>3</v>
      </c>
      <c r="B53" s="247">
        <v>2993</v>
      </c>
      <c r="C53" s="157">
        <f t="shared" si="1"/>
        <v>3.4302938614587629E-2</v>
      </c>
    </row>
    <row r="54" spans="1:6" ht="15.75" thickBot="1" x14ac:dyDescent="0.3">
      <c r="A54" s="190" t="s">
        <v>137</v>
      </c>
      <c r="B54" s="158">
        <f>SUM(B32:B53)</f>
        <v>87252</v>
      </c>
      <c r="C54" s="183"/>
    </row>
    <row r="56" spans="1:6" ht="15" x14ac:dyDescent="0.25">
      <c r="A56" s="184" t="s">
        <v>197</v>
      </c>
      <c r="E56" s="173" t="s">
        <v>218</v>
      </c>
    </row>
    <row r="57" spans="1:6" ht="15" x14ac:dyDescent="0.25">
      <c r="A57" s="185" t="s">
        <v>160</v>
      </c>
      <c r="B57" s="185" t="s">
        <v>103</v>
      </c>
      <c r="C57" s="176" t="s">
        <v>105</v>
      </c>
      <c r="E57" s="175" t="s">
        <v>157</v>
      </c>
      <c r="F57" s="177" t="s">
        <v>105</v>
      </c>
    </row>
    <row r="58" spans="1:6" ht="15" x14ac:dyDescent="0.25">
      <c r="A58" s="186" t="s">
        <v>15</v>
      </c>
      <c r="B58" s="187">
        <v>226</v>
      </c>
      <c r="C58" s="157">
        <f t="shared" ref="C58:C81" si="2">B58/B$82</f>
        <v>9.3080724876441513E-3</v>
      </c>
      <c r="E58" s="199" t="s">
        <v>18</v>
      </c>
      <c r="F58" s="200">
        <f>C62</f>
        <v>0.40296540362438221</v>
      </c>
    </row>
    <row r="59" spans="1:6" ht="15" x14ac:dyDescent="0.25">
      <c r="A59" s="186" t="s">
        <v>16</v>
      </c>
      <c r="B59" s="187">
        <v>456</v>
      </c>
      <c r="C59" s="157">
        <f t="shared" si="2"/>
        <v>1.8780889621087316E-2</v>
      </c>
      <c r="E59" s="199" t="s">
        <v>31</v>
      </c>
      <c r="F59" s="200">
        <f>C79</f>
        <v>0.1092668863261944</v>
      </c>
    </row>
    <row r="60" spans="1:6" ht="15" x14ac:dyDescent="0.25">
      <c r="A60" s="186" t="s">
        <v>85</v>
      </c>
      <c r="B60" s="187">
        <v>31</v>
      </c>
      <c r="C60" s="157">
        <f t="shared" si="2"/>
        <v>1.2767710049423394E-3</v>
      </c>
      <c r="E60" s="199" t="s">
        <v>2</v>
      </c>
      <c r="F60" s="200">
        <f>C71</f>
        <v>7.6853377265238873E-2</v>
      </c>
    </row>
    <row r="61" spans="1:6" ht="15" x14ac:dyDescent="0.25">
      <c r="A61" s="186" t="s">
        <v>17</v>
      </c>
      <c r="B61" s="187">
        <v>977</v>
      </c>
      <c r="C61" s="157">
        <f t="shared" si="2"/>
        <v>4.0238879736408564E-2</v>
      </c>
      <c r="E61" s="200" t="s">
        <v>30</v>
      </c>
      <c r="F61" s="200">
        <f>C78</f>
        <v>6.1037891268533775E-2</v>
      </c>
    </row>
    <row r="62" spans="1:6" ht="15" x14ac:dyDescent="0.25">
      <c r="A62" s="186" t="s">
        <v>18</v>
      </c>
      <c r="B62" s="187">
        <v>9784</v>
      </c>
      <c r="C62" s="157">
        <f t="shared" si="2"/>
        <v>0.40296540362438221</v>
      </c>
      <c r="E62" s="199" t="s">
        <v>82</v>
      </c>
      <c r="F62" s="200">
        <f>C73</f>
        <v>5.3912685337726522E-2</v>
      </c>
    </row>
    <row r="63" spans="1:6" ht="15" x14ac:dyDescent="0.25">
      <c r="A63" s="186" t="s">
        <v>19</v>
      </c>
      <c r="B63" s="187">
        <v>119</v>
      </c>
      <c r="C63" s="157">
        <f t="shared" si="2"/>
        <v>4.9011532125205932E-3</v>
      </c>
      <c r="E63" s="173" t="s">
        <v>217</v>
      </c>
      <c r="F63" s="200">
        <f>1-SUM(F58:F62)</f>
        <v>0.29596375617792425</v>
      </c>
    </row>
    <row r="64" spans="1:6" ht="15" x14ac:dyDescent="0.25">
      <c r="A64" s="186" t="s">
        <v>20</v>
      </c>
      <c r="B64" s="187">
        <v>82</v>
      </c>
      <c r="C64" s="157">
        <f t="shared" si="2"/>
        <v>3.3772652388797363E-3</v>
      </c>
      <c r="E64" s="173" t="s">
        <v>91</v>
      </c>
      <c r="F64" s="283">
        <f>SUM(F58:F63)</f>
        <v>1</v>
      </c>
    </row>
    <row r="65" spans="1:3" ht="15" x14ac:dyDescent="0.25">
      <c r="A65" s="186" t="s">
        <v>21</v>
      </c>
      <c r="B65" s="187">
        <v>455</v>
      </c>
      <c r="C65" s="157">
        <f t="shared" si="2"/>
        <v>1.8739703459637561E-2</v>
      </c>
    </row>
    <row r="66" spans="1:3" ht="15" x14ac:dyDescent="0.25">
      <c r="A66" s="186" t="s">
        <v>22</v>
      </c>
      <c r="B66" s="187">
        <v>59</v>
      </c>
      <c r="C66" s="157">
        <f t="shared" si="2"/>
        <v>2.42998352553542E-3</v>
      </c>
    </row>
    <row r="67" spans="1:3" ht="15" x14ac:dyDescent="0.25">
      <c r="A67" s="186" t="s">
        <v>23</v>
      </c>
      <c r="B67" s="187">
        <v>691</v>
      </c>
      <c r="C67" s="157">
        <f t="shared" si="2"/>
        <v>2.8459637561779241E-2</v>
      </c>
    </row>
    <row r="68" spans="1:3" ht="15" x14ac:dyDescent="0.25">
      <c r="A68" s="186" t="s">
        <v>24</v>
      </c>
      <c r="B68" s="187">
        <v>381</v>
      </c>
      <c r="C68" s="157">
        <f t="shared" si="2"/>
        <v>1.569192751235585E-2</v>
      </c>
    </row>
    <row r="69" spans="1:3" ht="15" x14ac:dyDescent="0.25">
      <c r="A69" s="186" t="s">
        <v>25</v>
      </c>
      <c r="B69" s="187">
        <v>240</v>
      </c>
      <c r="C69" s="157">
        <f t="shared" si="2"/>
        <v>9.8846787479406912E-3</v>
      </c>
    </row>
    <row r="70" spans="1:3" ht="15" x14ac:dyDescent="0.25">
      <c r="A70" s="186" t="s">
        <v>95</v>
      </c>
      <c r="B70" s="187">
        <v>1163</v>
      </c>
      <c r="C70" s="157">
        <f t="shared" si="2"/>
        <v>4.7899505766062604E-2</v>
      </c>
    </row>
    <row r="71" spans="1:3" ht="15" x14ac:dyDescent="0.25">
      <c r="A71" s="186" t="s">
        <v>2</v>
      </c>
      <c r="B71" s="187">
        <v>1866</v>
      </c>
      <c r="C71" s="157">
        <f t="shared" si="2"/>
        <v>7.6853377265238873E-2</v>
      </c>
    </row>
    <row r="72" spans="1:3" ht="15" x14ac:dyDescent="0.25">
      <c r="A72" s="186" t="s">
        <v>26</v>
      </c>
      <c r="B72" s="187">
        <v>58</v>
      </c>
      <c r="C72" s="157">
        <f t="shared" si="2"/>
        <v>2.3887973640856672E-3</v>
      </c>
    </row>
    <row r="73" spans="1:3" ht="15" x14ac:dyDescent="0.25">
      <c r="A73" s="186" t="s">
        <v>82</v>
      </c>
      <c r="B73" s="187">
        <v>1309</v>
      </c>
      <c r="C73" s="157">
        <f t="shared" si="2"/>
        <v>5.3912685337726522E-2</v>
      </c>
    </row>
    <row r="74" spans="1:3" ht="15" x14ac:dyDescent="0.25">
      <c r="A74" s="186" t="s">
        <v>27</v>
      </c>
      <c r="B74" s="187">
        <v>228</v>
      </c>
      <c r="C74" s="157">
        <f t="shared" si="2"/>
        <v>9.3904448105436578E-3</v>
      </c>
    </row>
    <row r="75" spans="1:3" ht="15" x14ac:dyDescent="0.25">
      <c r="A75" s="186" t="s">
        <v>96</v>
      </c>
      <c r="B75" s="187">
        <v>97</v>
      </c>
      <c r="C75" s="157">
        <f t="shared" si="2"/>
        <v>3.9950576606260293E-3</v>
      </c>
    </row>
    <row r="76" spans="1:3" ht="15" x14ac:dyDescent="0.25">
      <c r="A76" s="186" t="s">
        <v>28</v>
      </c>
      <c r="B76" s="187">
        <v>107</v>
      </c>
      <c r="C76" s="157">
        <f t="shared" si="2"/>
        <v>4.4069192751235581E-3</v>
      </c>
    </row>
    <row r="77" spans="1:3" ht="15" x14ac:dyDescent="0.25">
      <c r="A77" s="186" t="s">
        <v>29</v>
      </c>
      <c r="B77" s="187">
        <v>380</v>
      </c>
      <c r="C77" s="157">
        <f t="shared" si="2"/>
        <v>1.5650741350906095E-2</v>
      </c>
    </row>
    <row r="78" spans="1:3" ht="15" x14ac:dyDescent="0.25">
      <c r="A78" s="186" t="s">
        <v>30</v>
      </c>
      <c r="B78" s="187">
        <v>1482</v>
      </c>
      <c r="C78" s="157">
        <f t="shared" si="2"/>
        <v>6.1037891268533775E-2</v>
      </c>
    </row>
    <row r="79" spans="1:3" ht="15" x14ac:dyDescent="0.25">
      <c r="A79" s="186" t="s">
        <v>31</v>
      </c>
      <c r="B79" s="187">
        <v>2653</v>
      </c>
      <c r="C79" s="157">
        <f t="shared" si="2"/>
        <v>0.1092668863261944</v>
      </c>
    </row>
    <row r="80" spans="1:3" ht="15" x14ac:dyDescent="0.25">
      <c r="A80" s="188" t="s">
        <v>98</v>
      </c>
      <c r="B80" s="189">
        <v>177</v>
      </c>
      <c r="C80" s="157">
        <f t="shared" si="2"/>
        <v>7.28995057660626E-3</v>
      </c>
    </row>
    <row r="81" spans="1:6" ht="15.75" thickBot="1" x14ac:dyDescent="0.3">
      <c r="A81" s="246" t="s">
        <v>3</v>
      </c>
      <c r="B81" s="247">
        <v>1259</v>
      </c>
      <c r="C81" s="157">
        <f t="shared" si="2"/>
        <v>5.1853377265238879E-2</v>
      </c>
    </row>
    <row r="82" spans="1:6" ht="15.75" thickBot="1" x14ac:dyDescent="0.3">
      <c r="A82" s="190" t="s">
        <v>137</v>
      </c>
      <c r="B82" s="158">
        <f>SUM(B58:B81)</f>
        <v>24280</v>
      </c>
      <c r="C82" s="183"/>
    </row>
    <row r="84" spans="1:6" ht="18.75" x14ac:dyDescent="0.3">
      <c r="A84" s="172" t="s">
        <v>214</v>
      </c>
      <c r="B84" s="172"/>
      <c r="C84" s="172"/>
      <c r="D84" s="172"/>
    </row>
    <row r="85" spans="1:6" ht="15" x14ac:dyDescent="0.25">
      <c r="A85" s="174" t="s">
        <v>195</v>
      </c>
      <c r="E85" s="449" t="s">
        <v>216</v>
      </c>
      <c r="F85" s="449"/>
    </row>
    <row r="86" spans="1:6" ht="15" x14ac:dyDescent="0.25">
      <c r="A86" s="191" t="s">
        <v>160</v>
      </c>
      <c r="B86" s="191" t="s">
        <v>103</v>
      </c>
      <c r="C86" s="176" t="s">
        <v>105</v>
      </c>
      <c r="E86" s="175" t="s">
        <v>157</v>
      </c>
      <c r="F86" s="177" t="s">
        <v>105</v>
      </c>
    </row>
    <row r="87" spans="1:6" ht="15" x14ac:dyDescent="0.25">
      <c r="A87" s="192" t="s">
        <v>14</v>
      </c>
      <c r="B87" s="193">
        <v>2852</v>
      </c>
      <c r="C87" s="157">
        <f t="shared" ref="C87:C110" si="3">B87/B$111</f>
        <v>2.4098625229198881E-2</v>
      </c>
      <c r="E87" s="199" t="s">
        <v>30</v>
      </c>
      <c r="F87" s="200">
        <f>C107</f>
        <v>0.26096141009066559</v>
      </c>
    </row>
    <row r="88" spans="1:6" ht="15" x14ac:dyDescent="0.25">
      <c r="A88" s="192" t="s">
        <v>15</v>
      </c>
      <c r="B88" s="193">
        <v>781</v>
      </c>
      <c r="C88" s="157">
        <f t="shared" si="3"/>
        <v>6.5992378345036207E-3</v>
      </c>
      <c r="E88" s="199" t="s">
        <v>31</v>
      </c>
      <c r="F88" s="200">
        <f>C108</f>
        <v>0.22838770733520916</v>
      </c>
    </row>
    <row r="89" spans="1:6" ht="15" x14ac:dyDescent="0.25">
      <c r="A89" s="192" t="s">
        <v>16</v>
      </c>
      <c r="B89" s="193">
        <v>8275</v>
      </c>
      <c r="C89" s="157">
        <f t="shared" si="3"/>
        <v>6.9921502023709933E-2</v>
      </c>
      <c r="E89" s="199" t="s">
        <v>82</v>
      </c>
      <c r="F89" s="200">
        <f>C102</f>
        <v>0.11841449297405088</v>
      </c>
    </row>
    <row r="90" spans="1:6" ht="15" x14ac:dyDescent="0.25">
      <c r="A90" s="192" t="s">
        <v>85</v>
      </c>
      <c r="B90" s="193">
        <v>22</v>
      </c>
      <c r="C90" s="157">
        <f t="shared" si="3"/>
        <v>1.8589402350714424E-4</v>
      </c>
      <c r="E90" s="199" t="s">
        <v>16</v>
      </c>
      <c r="F90" s="200">
        <f>C89</f>
        <v>6.9921502023709933E-2</v>
      </c>
    </row>
    <row r="91" spans="1:6" ht="15" x14ac:dyDescent="0.25">
      <c r="A91" s="192" t="s">
        <v>17</v>
      </c>
      <c r="B91" s="193">
        <v>3866</v>
      </c>
      <c r="C91" s="157">
        <f t="shared" si="3"/>
        <v>3.2666649767209982E-2</v>
      </c>
      <c r="E91" s="199" t="s">
        <v>2</v>
      </c>
      <c r="F91" s="200">
        <f>C100</f>
        <v>4.2400736816311353E-2</v>
      </c>
    </row>
    <row r="92" spans="1:6" ht="15" x14ac:dyDescent="0.25">
      <c r="A92" s="192" t="s">
        <v>19</v>
      </c>
      <c r="B92" s="193">
        <v>272</v>
      </c>
      <c r="C92" s="157">
        <f t="shared" si="3"/>
        <v>2.2983261088156018E-3</v>
      </c>
      <c r="E92" s="199" t="s">
        <v>217</v>
      </c>
      <c r="F92" s="200">
        <f>1-SUM(F87:F91)</f>
        <v>0.2799141507600531</v>
      </c>
    </row>
    <row r="93" spans="1:6" ht="15" x14ac:dyDescent="0.25">
      <c r="A93" s="192" t="s">
        <v>20</v>
      </c>
      <c r="B93" s="193">
        <v>367</v>
      </c>
      <c r="C93" s="157">
        <f t="shared" si="3"/>
        <v>3.1010503012328153E-3</v>
      </c>
      <c r="E93" s="173" t="s">
        <v>91</v>
      </c>
      <c r="F93" s="283">
        <f>SUM(F87:F92)</f>
        <v>1</v>
      </c>
    </row>
    <row r="94" spans="1:6" ht="15" x14ac:dyDescent="0.25">
      <c r="A94" s="192" t="s">
        <v>21</v>
      </c>
      <c r="B94" s="193">
        <v>2236</v>
      </c>
      <c r="C94" s="157">
        <f t="shared" si="3"/>
        <v>1.8893592570998843E-2</v>
      </c>
    </row>
    <row r="95" spans="1:6" ht="15" x14ac:dyDescent="0.25">
      <c r="A95" s="192" t="s">
        <v>22</v>
      </c>
      <c r="B95" s="193">
        <v>78</v>
      </c>
      <c r="C95" s="157">
        <f t="shared" si="3"/>
        <v>6.5907881061623864E-4</v>
      </c>
    </row>
    <row r="96" spans="1:6" ht="15" x14ac:dyDescent="0.25">
      <c r="A96" s="192" t="s">
        <v>23</v>
      </c>
      <c r="B96" s="193">
        <v>3395</v>
      </c>
      <c r="C96" s="157">
        <f t="shared" si="3"/>
        <v>2.868682771848885E-2</v>
      </c>
    </row>
    <row r="97" spans="1:3" ht="15" x14ac:dyDescent="0.25">
      <c r="A97" s="192" t="s">
        <v>24</v>
      </c>
      <c r="B97" s="193">
        <v>1786</v>
      </c>
      <c r="C97" s="157">
        <f t="shared" si="3"/>
        <v>1.5091214817443618E-2</v>
      </c>
    </row>
    <row r="98" spans="1:3" ht="15" x14ac:dyDescent="0.25">
      <c r="A98" s="192" t="s">
        <v>25</v>
      </c>
      <c r="B98" s="193">
        <v>1612</v>
      </c>
      <c r="C98" s="157">
        <f t="shared" si="3"/>
        <v>1.3620962086068934E-2</v>
      </c>
    </row>
    <row r="99" spans="1:3" ht="15" x14ac:dyDescent="0.25">
      <c r="A99" s="194" t="s">
        <v>95</v>
      </c>
      <c r="B99" s="195">
        <v>4855</v>
      </c>
      <c r="C99" s="157">
        <f t="shared" si="3"/>
        <v>4.1023431096690238E-2</v>
      </c>
    </row>
    <row r="100" spans="1:3" ht="15" x14ac:dyDescent="0.25">
      <c r="A100" s="241" t="s">
        <v>2</v>
      </c>
      <c r="B100" s="242">
        <v>5018</v>
      </c>
      <c r="C100" s="157">
        <f t="shared" si="3"/>
        <v>4.2400736816311353E-2</v>
      </c>
    </row>
    <row r="101" spans="1:3" ht="15" x14ac:dyDescent="0.25">
      <c r="A101" s="241" t="s">
        <v>26</v>
      </c>
      <c r="B101" s="242">
        <v>136</v>
      </c>
      <c r="C101" s="157">
        <f t="shared" si="3"/>
        <v>1.1491630544078009E-3</v>
      </c>
    </row>
    <row r="102" spans="1:3" ht="15" x14ac:dyDescent="0.25">
      <c r="A102" s="241" t="s">
        <v>82</v>
      </c>
      <c r="B102" s="242">
        <v>14014</v>
      </c>
      <c r="C102" s="157">
        <f t="shared" si="3"/>
        <v>0.11841449297405088</v>
      </c>
    </row>
    <row r="103" spans="1:3" ht="15" x14ac:dyDescent="0.25">
      <c r="A103" s="241" t="s">
        <v>27</v>
      </c>
      <c r="B103" s="242">
        <v>3115</v>
      </c>
      <c r="C103" s="157">
        <f t="shared" si="3"/>
        <v>2.632090378294338E-2</v>
      </c>
    </row>
    <row r="104" spans="1:3" ht="15" x14ac:dyDescent="0.25">
      <c r="A104" s="241" t="s">
        <v>96</v>
      </c>
      <c r="B104" s="242">
        <v>299</v>
      </c>
      <c r="C104" s="157">
        <f t="shared" si="3"/>
        <v>2.5264687740289148E-3</v>
      </c>
    </row>
    <row r="105" spans="1:3" ht="15" x14ac:dyDescent="0.25">
      <c r="A105" s="241" t="s">
        <v>28</v>
      </c>
      <c r="B105" s="242">
        <v>1871</v>
      </c>
      <c r="C105" s="157">
        <f t="shared" si="3"/>
        <v>1.5809441726448496E-2</v>
      </c>
    </row>
    <row r="106" spans="1:3" ht="15" x14ac:dyDescent="0.25">
      <c r="A106" s="241" t="s">
        <v>29</v>
      </c>
      <c r="B106" s="242">
        <v>3233</v>
      </c>
      <c r="C106" s="157">
        <f t="shared" si="3"/>
        <v>2.731797172720897E-2</v>
      </c>
    </row>
    <row r="107" spans="1:3" ht="15" x14ac:dyDescent="0.25">
      <c r="A107" s="241" t="s">
        <v>30</v>
      </c>
      <c r="B107" s="242">
        <v>30884</v>
      </c>
      <c r="C107" s="157">
        <f t="shared" si="3"/>
        <v>0.26096141009066559</v>
      </c>
    </row>
    <row r="108" spans="1:3" ht="15" x14ac:dyDescent="0.25">
      <c r="A108" s="241" t="s">
        <v>31</v>
      </c>
      <c r="B108" s="242">
        <v>27029</v>
      </c>
      <c r="C108" s="157">
        <f t="shared" si="3"/>
        <v>0.22838770733520916</v>
      </c>
    </row>
    <row r="109" spans="1:3" ht="15" x14ac:dyDescent="0.25">
      <c r="A109" s="241" t="s">
        <v>98</v>
      </c>
      <c r="B109" s="242">
        <v>689</v>
      </c>
      <c r="C109" s="157">
        <f t="shared" si="3"/>
        <v>5.8218628271101084E-3</v>
      </c>
    </row>
    <row r="110" spans="1:3" ht="15.75" thickBot="1" x14ac:dyDescent="0.3">
      <c r="A110" s="241" t="s">
        <v>3</v>
      </c>
      <c r="B110" s="242">
        <v>1662</v>
      </c>
      <c r="C110" s="157">
        <f t="shared" si="3"/>
        <v>1.4043448503130624E-2</v>
      </c>
    </row>
    <row r="111" spans="1:3" ht="15.75" thickBot="1" x14ac:dyDescent="0.3">
      <c r="A111" s="248" t="s">
        <v>137</v>
      </c>
      <c r="B111" s="198">
        <f>SUM(B87:B110)</f>
        <v>118347</v>
      </c>
      <c r="C111" s="157"/>
    </row>
    <row r="112" spans="1:3" ht="15" x14ac:dyDescent="0.25">
      <c r="A112" s="241"/>
      <c r="B112" s="242"/>
      <c r="C112" s="242"/>
    </row>
    <row r="113" spans="1:6" ht="15" x14ac:dyDescent="0.25">
      <c r="A113" s="184" t="s">
        <v>199</v>
      </c>
      <c r="E113" s="449" t="s">
        <v>219</v>
      </c>
      <c r="F113" s="449"/>
    </row>
    <row r="114" spans="1:6" ht="15" x14ac:dyDescent="0.25">
      <c r="A114" s="191" t="s">
        <v>160</v>
      </c>
      <c r="B114" s="191" t="s">
        <v>103</v>
      </c>
      <c r="C114" s="176" t="s">
        <v>105</v>
      </c>
      <c r="E114" s="175" t="s">
        <v>157</v>
      </c>
      <c r="F114" s="177" t="s">
        <v>105</v>
      </c>
    </row>
    <row r="115" spans="1:6" ht="15" x14ac:dyDescent="0.25">
      <c r="A115" s="192" t="s">
        <v>14</v>
      </c>
      <c r="B115" s="193">
        <v>162</v>
      </c>
      <c r="C115" s="157">
        <f t="shared" ref="C115:C137" si="4">B115/B$138</f>
        <v>2.0596798596366319E-3</v>
      </c>
      <c r="D115" s="199"/>
      <c r="E115" s="199" t="s">
        <v>31</v>
      </c>
      <c r="F115" s="200">
        <f>C135</f>
        <v>0.7984056552197627</v>
      </c>
    </row>
    <row r="116" spans="1:6" ht="15" x14ac:dyDescent="0.25">
      <c r="A116" s="192" t="s">
        <v>15</v>
      </c>
      <c r="B116" s="193">
        <v>348</v>
      </c>
      <c r="C116" s="157">
        <f t="shared" si="4"/>
        <v>4.4244974762564686E-3</v>
      </c>
      <c r="D116" s="199"/>
      <c r="E116" s="199" t="s">
        <v>95</v>
      </c>
      <c r="F116" s="200">
        <f>C127</f>
        <v>6.8477998296314194E-2</v>
      </c>
    </row>
    <row r="117" spans="1:6" ht="15" x14ac:dyDescent="0.25">
      <c r="A117" s="192" t="s">
        <v>16</v>
      </c>
      <c r="B117" s="193">
        <v>1790</v>
      </c>
      <c r="C117" s="157">
        <f t="shared" si="4"/>
        <v>2.2758191041664017E-2</v>
      </c>
      <c r="D117" s="199"/>
      <c r="E117" s="199" t="s">
        <v>30</v>
      </c>
      <c r="F117" s="200">
        <f>C134</f>
        <v>2.7309829249996823E-2</v>
      </c>
    </row>
    <row r="118" spans="1:6" ht="15" x14ac:dyDescent="0.25">
      <c r="A118" s="192" t="s">
        <v>85</v>
      </c>
      <c r="B118" s="193">
        <v>6</v>
      </c>
      <c r="C118" s="157">
        <f t="shared" si="4"/>
        <v>7.628443924580118E-5</v>
      </c>
      <c r="D118" s="199"/>
      <c r="E118" s="199" t="s">
        <v>16</v>
      </c>
      <c r="F118" s="200">
        <f>C117</f>
        <v>2.2758191041664017E-2</v>
      </c>
    </row>
    <row r="119" spans="1:6" ht="15" x14ac:dyDescent="0.25">
      <c r="A119" s="192" t="s">
        <v>17</v>
      </c>
      <c r="B119" s="193">
        <v>389</v>
      </c>
      <c r="C119" s="157">
        <f t="shared" si="4"/>
        <v>4.9457744777694429E-3</v>
      </c>
      <c r="D119" s="199"/>
      <c r="E119" s="199" t="s">
        <v>18</v>
      </c>
      <c r="F119" s="200">
        <f>C120</f>
        <v>2.2796333261286918E-2</v>
      </c>
    </row>
    <row r="120" spans="1:6" ht="15" x14ac:dyDescent="0.25">
      <c r="A120" s="192" t="s">
        <v>18</v>
      </c>
      <c r="B120" s="193">
        <v>1793</v>
      </c>
      <c r="C120" s="157">
        <f t="shared" si="4"/>
        <v>2.2796333261286918E-2</v>
      </c>
      <c r="D120" s="199"/>
      <c r="E120" s="199" t="s">
        <v>220</v>
      </c>
      <c r="F120" s="200">
        <f>1-SUM(F115:F119)</f>
        <v>6.0251992930975384E-2</v>
      </c>
    </row>
    <row r="121" spans="1:6" ht="15" x14ac:dyDescent="0.25">
      <c r="A121" s="192" t="s">
        <v>19</v>
      </c>
      <c r="B121" s="193">
        <v>31</v>
      </c>
      <c r="C121" s="157">
        <f t="shared" si="4"/>
        <v>3.941362694366394E-4</v>
      </c>
      <c r="D121" s="199"/>
      <c r="E121" s="173" t="s">
        <v>91</v>
      </c>
      <c r="F121" s="283">
        <f>SUM(F115:F120)</f>
        <v>1</v>
      </c>
    </row>
    <row r="122" spans="1:6" ht="15" x14ac:dyDescent="0.25">
      <c r="A122" s="192" t="s">
        <v>20</v>
      </c>
      <c r="B122" s="193">
        <v>66</v>
      </c>
      <c r="C122" s="157">
        <f t="shared" si="4"/>
        <v>8.3912883170381299E-4</v>
      </c>
      <c r="D122" s="199"/>
      <c r="E122" s="199"/>
      <c r="F122" s="199"/>
    </row>
    <row r="123" spans="1:6" ht="15" x14ac:dyDescent="0.25">
      <c r="A123" s="192" t="s">
        <v>21</v>
      </c>
      <c r="B123" s="193">
        <v>637</v>
      </c>
      <c r="C123" s="157">
        <f t="shared" si="4"/>
        <v>8.0988646332625577E-3</v>
      </c>
      <c r="D123" s="199"/>
      <c r="E123" s="199"/>
      <c r="F123" s="199"/>
    </row>
    <row r="124" spans="1:6" ht="15" x14ac:dyDescent="0.25">
      <c r="A124" s="192" t="s">
        <v>22</v>
      </c>
      <c r="B124" s="193">
        <v>11</v>
      </c>
      <c r="C124" s="157">
        <f t="shared" si="4"/>
        <v>1.3985480528396881E-4</v>
      </c>
      <c r="D124" s="199"/>
      <c r="E124" s="199"/>
      <c r="F124" s="199"/>
    </row>
    <row r="125" spans="1:6" ht="15" x14ac:dyDescent="0.25">
      <c r="A125" s="192" t="s">
        <v>23</v>
      </c>
      <c r="B125" s="193">
        <v>1283</v>
      </c>
      <c r="C125" s="157">
        <f t="shared" si="4"/>
        <v>1.6312155925393819E-2</v>
      </c>
      <c r="D125" s="199"/>
      <c r="E125" s="199"/>
      <c r="F125" s="199"/>
    </row>
    <row r="126" spans="1:6" ht="15" x14ac:dyDescent="0.25">
      <c r="A126" s="192" t="s">
        <v>24</v>
      </c>
      <c r="B126" s="193">
        <v>357</v>
      </c>
      <c r="C126" s="157">
        <f t="shared" si="4"/>
        <v>4.5389241351251703E-3</v>
      </c>
      <c r="D126" s="199"/>
      <c r="E126" s="199"/>
      <c r="F126" s="199"/>
    </row>
    <row r="127" spans="1:6" ht="15" x14ac:dyDescent="0.25">
      <c r="A127" s="192" t="s">
        <v>95</v>
      </c>
      <c r="B127" s="193">
        <v>5386</v>
      </c>
      <c r="C127" s="157">
        <f t="shared" si="4"/>
        <v>6.8477998296314194E-2</v>
      </c>
      <c r="D127" s="199"/>
      <c r="E127" s="199"/>
      <c r="F127" s="199"/>
    </row>
    <row r="128" spans="1:6" ht="15" x14ac:dyDescent="0.25">
      <c r="A128" s="192" t="s">
        <v>2</v>
      </c>
      <c r="B128" s="193">
        <v>316</v>
      </c>
      <c r="C128" s="157">
        <f t="shared" si="4"/>
        <v>4.0176471336121952E-3</v>
      </c>
      <c r="D128" s="199"/>
      <c r="E128" s="199"/>
      <c r="F128" s="199"/>
    </row>
    <row r="129" spans="1:6" ht="15" x14ac:dyDescent="0.25">
      <c r="A129" s="192" t="s">
        <v>26</v>
      </c>
      <c r="B129" s="193">
        <v>142</v>
      </c>
      <c r="C129" s="157">
        <f t="shared" si="4"/>
        <v>1.8053983954839613E-3</v>
      </c>
      <c r="D129" s="199"/>
      <c r="E129" s="199"/>
      <c r="F129" s="199"/>
    </row>
    <row r="130" spans="1:6" ht="15" x14ac:dyDescent="0.25">
      <c r="A130" s="194" t="s">
        <v>27</v>
      </c>
      <c r="B130" s="195">
        <v>391</v>
      </c>
      <c r="C130" s="157">
        <f t="shared" si="4"/>
        <v>4.9712026241847101E-3</v>
      </c>
      <c r="D130" s="199"/>
      <c r="E130" s="199"/>
      <c r="F130" s="199"/>
    </row>
    <row r="131" spans="1:6" ht="15" x14ac:dyDescent="0.25">
      <c r="A131" s="241" t="s">
        <v>96</v>
      </c>
      <c r="B131" s="242">
        <v>23</v>
      </c>
      <c r="C131" s="157">
        <f t="shared" si="4"/>
        <v>2.924236837755712E-4</v>
      </c>
    </row>
    <row r="132" spans="1:6" ht="15" x14ac:dyDescent="0.25">
      <c r="A132" s="241" t="s">
        <v>28</v>
      </c>
      <c r="B132" s="242">
        <v>109</v>
      </c>
      <c r="C132" s="157">
        <f t="shared" si="4"/>
        <v>1.3858339796320547E-3</v>
      </c>
    </row>
    <row r="133" spans="1:6" ht="15" x14ac:dyDescent="0.25">
      <c r="A133" s="241" t="s">
        <v>29</v>
      </c>
      <c r="B133" s="242">
        <v>258</v>
      </c>
      <c r="C133" s="157">
        <f t="shared" si="4"/>
        <v>3.2802308875694505E-3</v>
      </c>
    </row>
    <row r="134" spans="1:6" ht="15" x14ac:dyDescent="0.25">
      <c r="A134" s="241" t="s">
        <v>30</v>
      </c>
      <c r="B134" s="242">
        <v>2148</v>
      </c>
      <c r="C134" s="157">
        <f t="shared" si="4"/>
        <v>2.7309829249996823E-2</v>
      </c>
    </row>
    <row r="135" spans="1:6" ht="15" x14ac:dyDescent="0.25">
      <c r="A135" s="241" t="s">
        <v>31</v>
      </c>
      <c r="B135" s="242">
        <v>62797</v>
      </c>
      <c r="C135" s="157">
        <f t="shared" si="4"/>
        <v>0.7984056552197627</v>
      </c>
    </row>
    <row r="136" spans="1:6" ht="15" x14ac:dyDescent="0.25">
      <c r="A136" s="241" t="s">
        <v>98</v>
      </c>
      <c r="B136" s="242">
        <v>32</v>
      </c>
      <c r="C136" s="157">
        <f t="shared" si="4"/>
        <v>4.0685034264427292E-4</v>
      </c>
    </row>
    <row r="137" spans="1:6" ht="15.75" thickBot="1" x14ac:dyDescent="0.3">
      <c r="A137" s="241" t="s">
        <v>3</v>
      </c>
      <c r="B137" s="242">
        <v>178</v>
      </c>
      <c r="C137" s="157">
        <f t="shared" si="4"/>
        <v>2.2631050309587682E-3</v>
      </c>
    </row>
    <row r="138" spans="1:6" ht="15.75" thickBot="1" x14ac:dyDescent="0.3">
      <c r="A138" s="248" t="s">
        <v>137</v>
      </c>
      <c r="B138" s="198">
        <f>SUM(B115:B137)</f>
        <v>78653</v>
      </c>
      <c r="C138" s="243"/>
    </row>
    <row r="139" spans="1:6" ht="15" x14ac:dyDescent="0.25">
      <c r="A139" s="241"/>
      <c r="B139" s="242"/>
      <c r="C139" s="243"/>
    </row>
    <row r="140" spans="1:6" ht="15" x14ac:dyDescent="0.25">
      <c r="A140" s="184" t="s">
        <v>215</v>
      </c>
      <c r="E140" s="173" t="s">
        <v>221</v>
      </c>
    </row>
    <row r="141" spans="1:6" ht="15" x14ac:dyDescent="0.25">
      <c r="A141" s="191" t="s">
        <v>160</v>
      </c>
      <c r="B141" s="191" t="s">
        <v>103</v>
      </c>
      <c r="C141" s="176" t="s">
        <v>105</v>
      </c>
      <c r="E141" s="175" t="s">
        <v>157</v>
      </c>
      <c r="F141" s="177" t="s">
        <v>105</v>
      </c>
    </row>
    <row r="142" spans="1:6" ht="15" x14ac:dyDescent="0.25">
      <c r="A142" s="192" t="s">
        <v>14</v>
      </c>
      <c r="B142" s="193">
        <v>51</v>
      </c>
      <c r="C142" s="157">
        <f t="shared" ref="C142:C165" si="5">B142/B$166</f>
        <v>1.2093332068671156E-3</v>
      </c>
      <c r="D142" s="199"/>
      <c r="E142" s="199" t="s">
        <v>29</v>
      </c>
      <c r="F142" s="200">
        <f>C161</f>
        <v>0.23117234183818647</v>
      </c>
    </row>
    <row r="143" spans="1:6" ht="15" x14ac:dyDescent="0.25">
      <c r="A143" s="192" t="s">
        <v>16</v>
      </c>
      <c r="B143" s="193">
        <v>2386</v>
      </c>
      <c r="C143" s="157">
        <f t="shared" si="5"/>
        <v>5.6577824148724275E-2</v>
      </c>
      <c r="D143" s="199"/>
      <c r="E143" s="199" t="s">
        <v>23</v>
      </c>
      <c r="F143" s="200">
        <f>C151</f>
        <v>0.20034620127098549</v>
      </c>
    </row>
    <row r="144" spans="1:6" ht="15" x14ac:dyDescent="0.25">
      <c r="A144" s="192" t="s">
        <v>85</v>
      </c>
      <c r="B144" s="193">
        <v>16</v>
      </c>
      <c r="C144" s="157">
        <f t="shared" si="5"/>
        <v>3.7939865313478137E-4</v>
      </c>
      <c r="D144" s="199"/>
      <c r="E144" s="199" t="s">
        <v>82</v>
      </c>
      <c r="F144" s="200">
        <f>C157</f>
        <v>0.15436782699421417</v>
      </c>
    </row>
    <row r="145" spans="1:6" ht="15" x14ac:dyDescent="0.25">
      <c r="A145" s="192" t="s">
        <v>17</v>
      </c>
      <c r="B145" s="193">
        <v>141</v>
      </c>
      <c r="C145" s="157">
        <f t="shared" si="5"/>
        <v>3.343450630750261E-3</v>
      </c>
      <c r="D145" s="199"/>
      <c r="E145" s="199" t="s">
        <v>31</v>
      </c>
      <c r="F145" s="200">
        <f>C163</f>
        <v>0.1456416579721142</v>
      </c>
    </row>
    <row r="146" spans="1:6" ht="15" x14ac:dyDescent="0.25">
      <c r="A146" s="192" t="s">
        <v>18</v>
      </c>
      <c r="B146" s="193">
        <v>832</v>
      </c>
      <c r="C146" s="157">
        <f t="shared" si="5"/>
        <v>1.9728729963008632E-2</v>
      </c>
      <c r="D146" s="199"/>
      <c r="E146" s="199" t="s">
        <v>30</v>
      </c>
      <c r="F146" s="200">
        <f>C162</f>
        <v>8.5364696955325808E-2</v>
      </c>
    </row>
    <row r="147" spans="1:6" ht="15" x14ac:dyDescent="0.25">
      <c r="A147" s="192" t="s">
        <v>19</v>
      </c>
      <c r="B147" s="193">
        <v>48</v>
      </c>
      <c r="C147" s="157">
        <f t="shared" si="5"/>
        <v>1.1381959594043442E-3</v>
      </c>
      <c r="D147" s="199"/>
      <c r="E147" s="199" t="s">
        <v>217</v>
      </c>
      <c r="F147" s="200">
        <f>1-SUM(F142:F146)</f>
        <v>0.18310727496917389</v>
      </c>
    </row>
    <row r="148" spans="1:6" ht="15" x14ac:dyDescent="0.25">
      <c r="A148" s="192" t="s">
        <v>20</v>
      </c>
      <c r="B148" s="193">
        <v>20</v>
      </c>
      <c r="C148" s="157">
        <f t="shared" si="5"/>
        <v>4.7424831641847674E-4</v>
      </c>
      <c r="D148" s="199"/>
      <c r="E148" s="173" t="s">
        <v>91</v>
      </c>
      <c r="F148" s="283">
        <f>SUM(F142:F147)</f>
        <v>1</v>
      </c>
    </row>
    <row r="149" spans="1:6" ht="15" x14ac:dyDescent="0.25">
      <c r="A149" s="192" t="s">
        <v>21</v>
      </c>
      <c r="B149" s="193">
        <v>1844</v>
      </c>
      <c r="C149" s="157">
        <f t="shared" si="5"/>
        <v>4.3725694773783554E-2</v>
      </c>
      <c r="D149" s="199"/>
      <c r="E149" s="199"/>
      <c r="F149" s="199"/>
    </row>
    <row r="150" spans="1:6" ht="15" x14ac:dyDescent="0.25">
      <c r="A150" s="192" t="s">
        <v>22</v>
      </c>
      <c r="B150" s="193">
        <v>39</v>
      </c>
      <c r="C150" s="157">
        <f t="shared" si="5"/>
        <v>9.2478421701602961E-4</v>
      </c>
      <c r="D150" s="199"/>
      <c r="E150" s="199"/>
      <c r="F150" s="199"/>
    </row>
    <row r="151" spans="1:6" ht="15" x14ac:dyDescent="0.25">
      <c r="A151" s="192" t="s">
        <v>23</v>
      </c>
      <c r="B151" s="193">
        <v>8449</v>
      </c>
      <c r="C151" s="157">
        <f t="shared" si="5"/>
        <v>0.20034620127098549</v>
      </c>
      <c r="D151" s="199"/>
      <c r="E151" s="199"/>
      <c r="F151" s="199"/>
    </row>
    <row r="152" spans="1:6" ht="15" x14ac:dyDescent="0.25">
      <c r="A152" s="192" t="s">
        <v>24</v>
      </c>
      <c r="B152" s="193">
        <v>586</v>
      </c>
      <c r="C152" s="157">
        <f t="shared" si="5"/>
        <v>1.3895475671061367E-2</v>
      </c>
      <c r="D152" s="199"/>
      <c r="E152" s="199"/>
      <c r="F152" s="199"/>
    </row>
    <row r="153" spans="1:6" ht="15" x14ac:dyDescent="0.25">
      <c r="A153" s="192" t="s">
        <v>25</v>
      </c>
      <c r="B153" s="193">
        <v>299</v>
      </c>
      <c r="C153" s="157">
        <f t="shared" si="5"/>
        <v>7.0900123304562272E-3</v>
      </c>
      <c r="D153" s="199"/>
      <c r="E153" s="199"/>
      <c r="F153" s="199"/>
    </row>
    <row r="154" spans="1:6" ht="15" x14ac:dyDescent="0.25">
      <c r="A154" s="192" t="s">
        <v>95</v>
      </c>
      <c r="B154" s="193">
        <v>152</v>
      </c>
      <c r="C154" s="157">
        <f t="shared" si="5"/>
        <v>3.6042872047804229E-3</v>
      </c>
      <c r="D154" s="199"/>
      <c r="E154" s="199"/>
      <c r="F154" s="199"/>
    </row>
    <row r="155" spans="1:6" ht="15" x14ac:dyDescent="0.25">
      <c r="A155" s="192" t="s">
        <v>2</v>
      </c>
      <c r="B155" s="193">
        <v>184</v>
      </c>
      <c r="C155" s="157">
        <f t="shared" si="5"/>
        <v>4.3630845110499859E-3</v>
      </c>
      <c r="D155" s="199"/>
      <c r="E155" s="199"/>
      <c r="F155" s="199"/>
    </row>
    <row r="156" spans="1:6" ht="15" x14ac:dyDescent="0.25">
      <c r="A156" s="192" t="s">
        <v>26</v>
      </c>
      <c r="B156" s="193">
        <v>119</v>
      </c>
      <c r="C156" s="157">
        <f t="shared" si="5"/>
        <v>2.8217774826899363E-3</v>
      </c>
      <c r="D156" s="199"/>
      <c r="E156" s="199"/>
      <c r="F156" s="199"/>
    </row>
    <row r="157" spans="1:6" ht="15" x14ac:dyDescent="0.25">
      <c r="A157" s="192" t="s">
        <v>82</v>
      </c>
      <c r="B157" s="193">
        <v>6510</v>
      </c>
      <c r="C157" s="157">
        <f t="shared" si="5"/>
        <v>0.15436782699421417</v>
      </c>
      <c r="D157" s="199"/>
      <c r="E157" s="199"/>
      <c r="F157" s="199"/>
    </row>
    <row r="158" spans="1:6" ht="15" x14ac:dyDescent="0.25">
      <c r="A158" s="192" t="s">
        <v>27</v>
      </c>
      <c r="B158" s="193">
        <v>195</v>
      </c>
      <c r="C158" s="157">
        <f t="shared" si="5"/>
        <v>4.6239210850801482E-3</v>
      </c>
      <c r="D158" s="199"/>
      <c r="E158" s="199"/>
      <c r="F158" s="199"/>
    </row>
    <row r="159" spans="1:6" ht="15" x14ac:dyDescent="0.25">
      <c r="A159" s="194" t="s">
        <v>96</v>
      </c>
      <c r="B159" s="195">
        <v>191</v>
      </c>
      <c r="C159" s="157">
        <f t="shared" si="5"/>
        <v>4.5290714217964528E-3</v>
      </c>
      <c r="D159" s="199"/>
      <c r="E159" s="199"/>
      <c r="F159" s="199"/>
    </row>
    <row r="160" spans="1:6" ht="15" x14ac:dyDescent="0.25">
      <c r="A160" s="242" t="s">
        <v>28</v>
      </c>
      <c r="B160" s="242">
        <v>80</v>
      </c>
      <c r="C160" s="157">
        <f t="shared" si="5"/>
        <v>1.8969932656739069E-3</v>
      </c>
    </row>
    <row r="161" spans="1:3" ht="15" x14ac:dyDescent="0.25">
      <c r="A161" s="173" t="s">
        <v>29</v>
      </c>
      <c r="B161" s="173">
        <v>9749</v>
      </c>
      <c r="C161" s="157">
        <f t="shared" si="5"/>
        <v>0.23117234183818647</v>
      </c>
    </row>
    <row r="162" spans="1:3" ht="15" x14ac:dyDescent="0.25">
      <c r="A162" s="173" t="s">
        <v>30</v>
      </c>
      <c r="B162" s="173">
        <v>3600</v>
      </c>
      <c r="C162" s="157">
        <f t="shared" si="5"/>
        <v>8.5364696955325808E-2</v>
      </c>
    </row>
    <row r="163" spans="1:3" ht="15" x14ac:dyDescent="0.25">
      <c r="A163" s="173" t="s">
        <v>31</v>
      </c>
      <c r="B163" s="173">
        <v>6142</v>
      </c>
      <c r="C163" s="157">
        <f t="shared" si="5"/>
        <v>0.1456416579721142</v>
      </c>
    </row>
    <row r="164" spans="1:3" ht="15" x14ac:dyDescent="0.25">
      <c r="A164" s="173" t="s">
        <v>98</v>
      </c>
      <c r="B164" s="173">
        <v>50</v>
      </c>
      <c r="C164" s="157">
        <f t="shared" si="5"/>
        <v>1.1856207910461917E-3</v>
      </c>
    </row>
    <row r="165" spans="1:3" ht="15.75" thickBot="1" x14ac:dyDescent="0.3">
      <c r="A165" s="173" t="s">
        <v>3</v>
      </c>
      <c r="B165" s="173">
        <v>489</v>
      </c>
      <c r="C165" s="157">
        <f t="shared" si="5"/>
        <v>1.1595371336431756E-2</v>
      </c>
    </row>
    <row r="166" spans="1:3" ht="13.5" thickBot="1" x14ac:dyDescent="0.25">
      <c r="A166" s="249" t="s">
        <v>91</v>
      </c>
      <c r="B166" s="183">
        <f>SUM(B142:B165)</f>
        <v>42172</v>
      </c>
    </row>
  </sheetData>
  <mergeCells count="4">
    <mergeCell ref="E2:F2"/>
    <mergeCell ref="E30:F30"/>
    <mergeCell ref="E85:F85"/>
    <mergeCell ref="E113:F113"/>
  </mergeCells>
  <conditionalFormatting sqref="C4:C27">
    <cfRule type="top10" dxfId="5" priority="32" rank="5"/>
  </conditionalFormatting>
  <conditionalFormatting sqref="C32:C53">
    <cfRule type="top10" dxfId="4" priority="34" rank="5"/>
  </conditionalFormatting>
  <conditionalFormatting sqref="C58:C81">
    <cfRule type="top10" dxfId="3" priority="36" rank="5"/>
  </conditionalFormatting>
  <conditionalFormatting sqref="C87:C111">
    <cfRule type="top10" dxfId="2" priority="38" rank="5"/>
  </conditionalFormatting>
  <conditionalFormatting sqref="C115:C137">
    <cfRule type="top10" dxfId="1" priority="40" rank="5"/>
  </conditionalFormatting>
  <conditionalFormatting sqref="C142:C165">
    <cfRule type="top10" dxfId="0" priority="42" rank="5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Year comparison</vt:lpstr>
      <vt:lpstr>2012</vt:lpstr>
      <vt:lpstr>2013</vt:lpstr>
      <vt:lpstr>2014</vt:lpstr>
      <vt:lpstr>2015</vt:lpstr>
      <vt:lpstr>2013 Top Destinations</vt:lpstr>
      <vt:lpstr>2014 Top Destinations</vt:lpstr>
      <vt:lpstr>2015 Top Destinations</vt:lpstr>
    </vt:vector>
  </TitlesOfParts>
  <Manager>Jaime Lopez Loosvelt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ECRIS Global Statistics</dc:title>
  <dc:creator>DG Justice</dc:creator>
  <cp:lastModifiedBy>Jaunius Krivickas</cp:lastModifiedBy>
  <cp:lastPrinted>2016-07-20T09:26:18Z</cp:lastPrinted>
  <dcterms:created xsi:type="dcterms:W3CDTF">2012-12-14T00:25:11Z</dcterms:created>
  <dcterms:modified xsi:type="dcterms:W3CDTF">2016-07-22T11:34:06Z</dcterms:modified>
</cp:coreProperties>
</file>